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2.xml" ContentType="application/vnd.ms-excel.controlproperties+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drawings/drawing8.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9.xml" ContentType="application/vnd.openxmlformats-officedocument.drawingml.chartshapes+xml"/>
  <Override PartName="/xl/charts/chart16.xml" ContentType="application/vnd.openxmlformats-officedocument.drawingml.chart+xml"/>
  <Override PartName="/xl/drawings/drawing10.xml" ContentType="application/vnd.openxmlformats-officedocument.drawingml.chartshapes+xml"/>
  <Override PartName="/xl/charts/chart17.xml" ContentType="application/vnd.openxmlformats-officedocument.drawingml.chart+xml"/>
  <Override PartName="/xl/drawings/drawing11.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2.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workbookProtection workbookPassword="CCC8" lockStructure="1"/>
  <bookViews>
    <workbookView xWindow="-60" yWindow="-105" windowWidth="7230" windowHeight="6735" tabRatio="420"/>
  </bookViews>
  <sheets>
    <sheet name="Design Converter" sheetId="1" r:id="rId1"/>
    <sheet name="BOM &amp; Schematic" sheetId="16" r:id="rId2"/>
    <sheet name="EVMs" sheetId="14" r:id="rId3"/>
    <sheet name="Variable Mgmt" sheetId="2" state="hidden" r:id="rId4"/>
    <sheet name="Calculations - Single" sheetId="24" state="hidden" r:id="rId5"/>
    <sheet name="Calculations - Dual" sheetId="25" state="hidden" r:id="rId6"/>
    <sheet name="Fsw vs VIN" sheetId="23" state="hidden" r:id="rId7"/>
    <sheet name="Parameters" sheetId="19" state="hidden" r:id="rId8"/>
    <sheet name="Efficiency Plots" sheetId="22" state="hidden" r:id="rId9"/>
    <sheet name="Fsw Plots" sheetId="28" state="hidden" r:id="rId10"/>
    <sheet name="Schematic Mgmt" sheetId="21" state="hidden" r:id="rId11"/>
    <sheet name="Standard Value Calculator" sheetId="8" state="hidden" r:id="rId12"/>
  </sheets>
  <definedNames>
    <definedName name="_Don1">'Variable Mgmt'!$B$60</definedName>
    <definedName name="BDserR">Parameters!$D$49</definedName>
    <definedName name="Cb">'Variable Mgmt'!$B$154</definedName>
    <definedName name="Cin" localSheetId="7">Parameters!$D$30</definedName>
    <definedName name="Cin">'Variable Mgmt'!$B$120</definedName>
    <definedName name="CinEsrMax">'Variable Mgmt'!$B$122</definedName>
    <definedName name="Cinmin">'Variable Mgmt'!$B$118</definedName>
    <definedName name="CONFIG">'Variable Mgmt'!$C$52</definedName>
    <definedName name="Coss">Parameters!$D$44</definedName>
    <definedName name="Cout" localSheetId="7">Parameters!$D$32</definedName>
    <definedName name="Cout">'Variable Mgmt'!$B$95</definedName>
    <definedName name="Cout_Voltage_Rating">'Variable Mgmt'!$S$53</definedName>
    <definedName name="Cout2">'Variable Mgmt'!$B$105</definedName>
    <definedName name="CoutEsr">'Variable Mgmt'!$B$97</definedName>
    <definedName name="CoutEsr2">'Variable Mgmt'!$B$107</definedName>
    <definedName name="Css">'Variable Mgmt'!$B$134</definedName>
    <definedName name="Css_u">'Variable Mgmt'!$B$135</definedName>
    <definedName name="Csw">Parameters!$D$45</definedName>
    <definedName name="Diode_TC">'Variable Mgmt'!$B$165</definedName>
    <definedName name="Don_Vinmax">'Variable Mgmt'!$B$63</definedName>
    <definedName name="Don_Vinmin">'Variable Mgmt'!$B$61</definedName>
    <definedName name="Don_Vinnom">'Variable Mgmt'!$B$62</definedName>
    <definedName name="EFF_DUAL">'Efficiency Plots'!$B$7</definedName>
    <definedName name="EFF_SINGLE">'Efficiency Plots'!$B$5</definedName>
    <definedName name="Efficiency">'Variable Mgmt'!$B$33</definedName>
    <definedName name="Fsw" localSheetId="7">Parameters!$D$20</definedName>
    <definedName name="Fsw_DCM">'Variable Mgmt'!$B$39</definedName>
    <definedName name="Fsw_DUAL">'Fsw Plots'!$B$7</definedName>
    <definedName name="Fsw_max">Parameters!$D$21</definedName>
    <definedName name="Fsw_SINGLE">'Fsw Plots'!$B$5</definedName>
    <definedName name="Icinrms">'Variable Mgmt'!$B$117</definedName>
    <definedName name="Icoutrms">'Variable Mgmt'!$B$89</definedName>
    <definedName name="Iin_Vinmax">'Variable Mgmt'!$B$37</definedName>
    <definedName name="Iin_Vinmin">'Variable Mgmt'!$B$35</definedName>
    <definedName name="Iin_Vinnom">'Variable Mgmt'!$B$36</definedName>
    <definedName name="Iout">'Variable Mgmt'!$B$12</definedName>
    <definedName name="Iout_max">Parameters!$D$10</definedName>
    <definedName name="Iout2">'Variable Mgmt'!$B$18</definedName>
    <definedName name="Iout2_actual">'Variable Mgmt'!$B$19</definedName>
    <definedName name="Ioutmax_Vinmax" localSheetId="5">'Calculations - Dual'!$Q$216</definedName>
    <definedName name="Ioutmax_Vinmax">'Calculations - Single'!$P$216</definedName>
    <definedName name="Ioutmax_Vinmin" localSheetId="5">'Calculations - Dual'!$Q$110</definedName>
    <definedName name="Ioutmax_Vinmin">'Calculations - Single'!$P$110</definedName>
    <definedName name="Ioutmax_Vinnom" localSheetId="5">'Calculations - Dual'!$Q$5</definedName>
    <definedName name="Ioutmax_Vinnom">'Calculations - Single'!$P$5</definedName>
    <definedName name="IQ">Parameters!$D$38</definedName>
    <definedName name="Iripple">Parameters!$D$19</definedName>
    <definedName name="Iripple_Vinmax" localSheetId="5">'Variable Mgmt'!#REF!</definedName>
    <definedName name="Iripple_Vinmax" localSheetId="9">'Variable Mgmt'!#REF!</definedName>
    <definedName name="Iripple_Vinmax">'Variable Mgmt'!#REF!</definedName>
    <definedName name="Iripple_Vinmin" localSheetId="5">'Variable Mgmt'!#REF!</definedName>
    <definedName name="Iripple_Vinmin" localSheetId="9">'Variable Mgmt'!#REF!</definedName>
    <definedName name="Iripple_Vinmin">'Variable Mgmt'!#REF!</definedName>
    <definedName name="Iripple_Vinnom" localSheetId="5">'Variable Mgmt'!#REF!</definedName>
    <definedName name="Iripple_Vinnom" localSheetId="9">'Variable Mgmt'!#REF!</definedName>
    <definedName name="Iripple_Vinnom">'Variable Mgmt'!#REF!</definedName>
    <definedName name="Iripple1" localSheetId="5">'Variable Mgmt'!#REF!</definedName>
    <definedName name="Iripple1" localSheetId="9">'Variable Mgmt'!#REF!</definedName>
    <definedName name="Iripple1">'Variable Mgmt'!#REF!</definedName>
    <definedName name="Iss">'Variable Mgmt'!$B$133</definedName>
    <definedName name="Isw_max">Parameters!$D$35</definedName>
    <definedName name="Isw_min">Parameters!$D$36</definedName>
    <definedName name="Iuvlo_hys">'Variable Mgmt'!$B$144</definedName>
    <definedName name="Iuvlo1">'Variable Mgmt'!$B$142</definedName>
    <definedName name="Iuvlo2">'Variable Mgmt'!$B$143</definedName>
    <definedName name="k_core">Parameters!$D$29</definedName>
    <definedName name="L">Parameters!$D$26</definedName>
    <definedName name="Lf">'Variable Mgmt'!$B$73</definedName>
    <definedName name="Lleak">'Variable Mgmt'!$B$74</definedName>
    <definedName name="Lmin">'Variable Mgmt'!$B$84</definedName>
    <definedName name="Ltc">'Variable Mgmt'!$B$176</definedName>
    <definedName name="max_I">Parameters!$H$109</definedName>
    <definedName name="min_I">Parameters!$H$108</definedName>
    <definedName name="MODE">'Variable Mgmt'!$C$51</definedName>
    <definedName name="MODE_SS">'Variable Mgmt'!$J$56</definedName>
    <definedName name="MODE_TC">'Variable Mgmt'!$G$50</definedName>
    <definedName name="MODE_TOP">'Variable Mgmt'!$B$51</definedName>
    <definedName name="MODE_UVLO">'Variable Mgmt'!$G$56</definedName>
    <definedName name="Npri_sec1">'Variable Mgmt'!$R$41</definedName>
    <definedName name="Npri_sec2">'Variable Mgmt'!$R$43</definedName>
    <definedName name="Nps">'Variable Mgmt'!$R$40</definedName>
    <definedName name="Nsec1sec2">'Variable Mgmt'!$R$42</definedName>
    <definedName name="OffTime">Parameters!$D$18</definedName>
    <definedName name="OnTime">Parameters!$D$17</definedName>
    <definedName name="Pi">'Variable Mgmt'!$B$157</definedName>
    <definedName name="PICTURE1">INDIRECT('Schematic Mgmt'!$A$2)</definedName>
    <definedName name="PICTURE2">INDIRECT('Fsw Plots'!$A$2)</definedName>
    <definedName name="PICTURE3">INDIRECT('Efficiency Plots'!$A$2)</definedName>
    <definedName name="Pin">'Variable Mgmt'!$B$34</definedName>
    <definedName name="PLOT_TYPE">'Variable Mgmt'!$M$56</definedName>
    <definedName name="Pout">'Variable Mgmt'!$B$14</definedName>
    <definedName name="Pout_total">'Variable Mgmt'!$B$22</definedName>
    <definedName name="Pout2">'Variable Mgmt'!$B$21</definedName>
    <definedName name="_xlnm.Print_Area" localSheetId="1">'BOM &amp; Schematic'!$A$1:$I$50</definedName>
    <definedName name="_xlnm.Print_Area" localSheetId="0">'Design Converter'!$A$1:$R$48</definedName>
    <definedName name="Qg">Parameters!$D$43</definedName>
    <definedName name="RCinEsr" localSheetId="7">Parameters!$D$31</definedName>
    <definedName name="RCinEsr">'Variable Mgmt'!$B$123</definedName>
    <definedName name="RCoutEsr" localSheetId="7">Parameters!$D$33</definedName>
    <definedName name="RCoutEsr">'Variable Mgmt'!$B$97</definedName>
    <definedName name="Rdcr_pri">'Variable Mgmt'!$B$75</definedName>
    <definedName name="Rdcr_sec">'Variable Mgmt'!$B$76</definedName>
    <definedName name="Rdcr_sec2">'Variable Mgmt'!$B$77</definedName>
    <definedName name="Rdson">Parameters!$D$40</definedName>
    <definedName name="RdsonTC">Parameters!$D$41</definedName>
    <definedName name="Rfb">'Variable Mgmt'!$B$41</definedName>
    <definedName name="Rfb_recommend">'Variable Mgmt'!$B$161</definedName>
    <definedName name="Rfb2_u">'Variable Mgmt'!$B$163</definedName>
    <definedName name="Rout">'Variable Mgmt'!$B$13</definedName>
    <definedName name="Rout2">'Variable Mgmt'!$B$20</definedName>
    <definedName name="Rpg" localSheetId="9">'Variable Mgmt'!#REF!</definedName>
    <definedName name="Rpg">'Variable Mgmt'!#REF!</definedName>
    <definedName name="rr">Parameters!$H$110</definedName>
    <definedName name="RTC">'Variable Mgmt'!$B$167</definedName>
    <definedName name="RTC_1">'Variable Mgmt'!$B$166</definedName>
    <definedName name="Ruvlo1">'Variable Mgmt'!$B$149</definedName>
    <definedName name="Ruvlo2">'Variable Mgmt'!$B$150</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7">Parameters!$D$12</definedName>
    <definedName name="Ta">'Variable Mgmt'!$B$174</definedName>
    <definedName name="TC">'Variable Mgmt'!$G$50</definedName>
    <definedName name="Tfall">Parameters!$D$23</definedName>
    <definedName name="ThetaCa">'Variable Mgmt'!$B$177</definedName>
    <definedName name="ThetaJA">Parameters!$D$53</definedName>
    <definedName name="TL">'Variable Mgmt'!$B$85</definedName>
    <definedName name="Toff_Vinmax">'Variable Mgmt'!$B$158</definedName>
    <definedName name="Ton_Vinmin">'Variable Mgmt'!$B$159</definedName>
    <definedName name="Trise">Parameters!$D$22</definedName>
    <definedName name="TrrBot">Parameters!$D$51</definedName>
    <definedName name="Tss">'Variable Mgmt'!$B$132</definedName>
    <definedName name="Turns_Ratio">'Variable Mgmt'!$S$38</definedName>
    <definedName name="Turns_Ratio2">'Variable Mgmt'!$W$38</definedName>
    <definedName name="Vdd">Parameters!$D$13</definedName>
    <definedName name="Vfwd1">Parameters!$D$47</definedName>
    <definedName name="Vfwd2">Parameters!$D$48</definedName>
    <definedName name="Vin">'Design Converter'!$E$7</definedName>
    <definedName name="VIN_max">'Variable Mgmt'!$B$9</definedName>
    <definedName name="VIN_min">'Variable Mgmt'!$B$7</definedName>
    <definedName name="VIN_nom">'Variable Mgmt'!$B$8</definedName>
    <definedName name="Vinripple1">'Variable Mgmt'!$B$115</definedName>
    <definedName name="Vinripple2">'Variable Mgmt'!$B$128</definedName>
    <definedName name="VINuvlo_off">'Variable Mgmt'!$B$147</definedName>
    <definedName name="VINuvlo_on">'Variable Mgmt'!$B$146</definedName>
    <definedName name="Vout">'Variable Mgmt'!$B$11</definedName>
    <definedName name="Vout_ripple">'Variable Mgmt'!$B$30</definedName>
    <definedName name="Vout_ripple2">'Variable Mgmt'!$B$31</definedName>
    <definedName name="Vout2">'Variable Mgmt'!$B$16</definedName>
    <definedName name="Vout2_actual">'Variable Mgmt'!$B$17</definedName>
    <definedName name="Vref">'Variable Mgmt'!$B$40</definedName>
    <definedName name="Vripple1_actual">'Variable Mgmt'!$B$99</definedName>
    <definedName name="Vripple1_spec">'Variable Mgmt'!$B$93</definedName>
    <definedName name="Vripple2_actual">'Variable Mgmt'!$B$109</definedName>
    <definedName name="Vripple2_spec">'Variable Mgmt'!$B$103</definedName>
    <definedName name="VRRM_DIODE">'Variable Mgmt'!$B$28</definedName>
    <definedName name="Vuvlo_hys">'Variable Mgmt'!$B$141</definedName>
    <definedName name="Vuvlo_off">'Variable Mgmt'!$B$140</definedName>
    <definedName name="Vuvlo_on">'Variable Mgmt'!$B$139</definedName>
  </definedNames>
  <calcPr calcId="145621"/>
</workbook>
</file>

<file path=xl/calcChain.xml><?xml version="1.0" encoding="utf-8"?>
<calcChain xmlns="http://schemas.openxmlformats.org/spreadsheetml/2006/main">
  <c r="D70" i="2" l="1"/>
  <c r="BB1" i="24" l="1"/>
  <c r="D53" i="19"/>
  <c r="B53" i="19"/>
  <c r="D41" i="19"/>
  <c r="B174" i="2"/>
  <c r="BS1" i="24" l="1"/>
  <c r="B74" i="2" l="1"/>
  <c r="M10" i="1"/>
  <c r="K10" i="1"/>
  <c r="B36" i="19" l="1"/>
  <c r="B18" i="2" l="1"/>
  <c r="B28" i="19"/>
  <c r="D28" i="19" s="1"/>
  <c r="B48" i="19"/>
  <c r="D48" i="19" s="1"/>
  <c r="BL110" i="25" l="1"/>
  <c r="BN110" i="24"/>
  <c r="BQ110" i="24" s="1"/>
  <c r="M1" i="24"/>
  <c r="R41" i="2"/>
  <c r="R40" i="2"/>
  <c r="W41" i="2"/>
  <c r="R38" i="2" l="1"/>
  <c r="R32" i="2"/>
  <c r="R34" i="2"/>
  <c r="K39" i="16" l="1"/>
  <c r="K38" i="16"/>
  <c r="K37" i="16"/>
  <c r="K36" i="16"/>
  <c r="K35" i="16"/>
  <c r="K45" i="16"/>
  <c r="J45" i="16"/>
  <c r="K33" i="16"/>
  <c r="J33" i="16"/>
  <c r="I33" i="16"/>
  <c r="H33" i="16"/>
  <c r="I34" i="16"/>
  <c r="H34" i="16"/>
  <c r="C37" i="16"/>
  <c r="D36" i="16"/>
  <c r="D35" i="16"/>
  <c r="J36" i="16"/>
  <c r="J39" i="16"/>
  <c r="J37" i="16"/>
  <c r="H36" i="16"/>
  <c r="J35" i="16"/>
  <c r="J44" i="16"/>
  <c r="I44" i="16"/>
  <c r="H44" i="16"/>
  <c r="A44" i="16"/>
  <c r="D38" i="16"/>
  <c r="D37" i="16"/>
  <c r="J38" i="16"/>
  <c r="F213" i="2"/>
  <c r="K41" i="16"/>
  <c r="J41" i="16"/>
  <c r="I36" i="16"/>
  <c r="C36" i="16"/>
  <c r="B34" i="16"/>
  <c r="A36" i="16"/>
  <c r="B219" i="2"/>
  <c r="A33" i="16"/>
  <c r="K44" i="16"/>
  <c r="K13" i="1" l="1"/>
  <c r="M13" i="1"/>
  <c r="A2" i="28"/>
  <c r="A2" i="22"/>
  <c r="B17" i="2"/>
  <c r="B16" i="2"/>
  <c r="I5" i="25" l="1"/>
  <c r="B51" i="2"/>
  <c r="D213" i="2" s="1"/>
  <c r="B19" i="2"/>
  <c r="BP6" i="19"/>
  <c r="BQ6" i="19"/>
  <c r="BU6" i="19"/>
  <c r="BV6" i="19"/>
  <c r="BW6" i="19"/>
  <c r="CA6" i="19"/>
  <c r="CB6" i="19"/>
  <c r="CC6" i="19"/>
  <c r="BP7" i="19"/>
  <c r="BQ7" i="19"/>
  <c r="BU7" i="19"/>
  <c r="BV7" i="19"/>
  <c r="BW7" i="19"/>
  <c r="CA7" i="19"/>
  <c r="CB7" i="19"/>
  <c r="CC7" i="19"/>
  <c r="BP8" i="19"/>
  <c r="BQ8" i="19"/>
  <c r="BU8" i="19"/>
  <c r="BV8" i="19"/>
  <c r="BW8" i="19"/>
  <c r="CA8" i="19"/>
  <c r="CB8" i="19"/>
  <c r="CC8" i="19"/>
  <c r="BP9" i="19"/>
  <c r="BQ9" i="19"/>
  <c r="BU9" i="19"/>
  <c r="BV9" i="19"/>
  <c r="BW9" i="19"/>
  <c r="CA9" i="19"/>
  <c r="CB9" i="19"/>
  <c r="CC9" i="19"/>
  <c r="D24" i="2"/>
  <c r="A24" i="2"/>
  <c r="AL216" i="25"/>
  <c r="AL110" i="25"/>
  <c r="J105" i="25"/>
  <c r="J104" i="25"/>
  <c r="J103" i="25"/>
  <c r="J102" i="25"/>
  <c r="J101" i="25"/>
  <c r="J100" i="25"/>
  <c r="J99" i="25"/>
  <c r="J98" i="25"/>
  <c r="J97" i="25"/>
  <c r="J96" i="25"/>
  <c r="J95" i="25"/>
  <c r="J94" i="25"/>
  <c r="J93" i="25"/>
  <c r="J92" i="25"/>
  <c r="J91" i="25"/>
  <c r="J90" i="25"/>
  <c r="J89" i="25"/>
  <c r="J88" i="25"/>
  <c r="J87" i="25"/>
  <c r="J86" i="25"/>
  <c r="J85" i="25"/>
  <c r="J84" i="25"/>
  <c r="J83" i="25"/>
  <c r="J82" i="25"/>
  <c r="J81" i="25"/>
  <c r="J80" i="25"/>
  <c r="J79" i="25"/>
  <c r="J78" i="25"/>
  <c r="J77" i="25"/>
  <c r="J76" i="25"/>
  <c r="J75" i="25"/>
  <c r="J74" i="25"/>
  <c r="J73" i="25"/>
  <c r="J72" i="25"/>
  <c r="J71" i="25"/>
  <c r="J70" i="25"/>
  <c r="J69" i="25"/>
  <c r="J68" i="25"/>
  <c r="J67" i="25"/>
  <c r="J66" i="25"/>
  <c r="J65" i="25"/>
  <c r="J64" i="25"/>
  <c r="J63" i="25"/>
  <c r="J62" i="25"/>
  <c r="J61" i="25"/>
  <c r="J60" i="25"/>
  <c r="J59" i="25"/>
  <c r="J58" i="25"/>
  <c r="J57" i="25"/>
  <c r="J56" i="25"/>
  <c r="J55" i="25"/>
  <c r="J54" i="25"/>
  <c r="J53" i="25"/>
  <c r="J52" i="25"/>
  <c r="J51" i="25"/>
  <c r="J50" i="25"/>
  <c r="J49" i="25"/>
  <c r="J48" i="25"/>
  <c r="J47" i="25"/>
  <c r="J46" i="25"/>
  <c r="J45" i="25"/>
  <c r="J44" i="25"/>
  <c r="J43" i="25"/>
  <c r="J42" i="25"/>
  <c r="J41" i="25"/>
  <c r="J40" i="25"/>
  <c r="J39" i="25"/>
  <c r="J38" i="25"/>
  <c r="J37" i="25"/>
  <c r="J36" i="25"/>
  <c r="J35" i="25"/>
  <c r="J34" i="25"/>
  <c r="J33" i="25"/>
  <c r="J32" i="25"/>
  <c r="J31" i="25"/>
  <c r="J30" i="25"/>
  <c r="J29" i="25"/>
  <c r="J28" i="25"/>
  <c r="J27" i="25"/>
  <c r="J26" i="25"/>
  <c r="J25" i="25"/>
  <c r="J24" i="25"/>
  <c r="J23" i="25"/>
  <c r="J22" i="25"/>
  <c r="J21" i="25"/>
  <c r="J20" i="25"/>
  <c r="J19" i="25"/>
  <c r="J18" i="25"/>
  <c r="J17" i="25"/>
  <c r="J16" i="25"/>
  <c r="J15" i="25"/>
  <c r="J14" i="25"/>
  <c r="J13" i="25"/>
  <c r="J12" i="25"/>
  <c r="J11" i="25"/>
  <c r="J10" i="25"/>
  <c r="J9" i="25"/>
  <c r="J8" i="25"/>
  <c r="J7" i="25"/>
  <c r="J6" i="25"/>
  <c r="AL5" i="25"/>
  <c r="J5" i="25"/>
  <c r="K12" i="1"/>
  <c r="V38" i="2"/>
  <c r="V36" i="2"/>
  <c r="K9" i="1"/>
  <c r="V28" i="2"/>
  <c r="V29" i="2"/>
  <c r="V35" i="2"/>
  <c r="V34" i="2"/>
  <c r="V33" i="2"/>
  <c r="V32" i="2"/>
  <c r="V31" i="2"/>
  <c r="V30" i="2"/>
  <c r="B265" i="2" l="1"/>
  <c r="R37" i="2"/>
  <c r="R36" i="2"/>
  <c r="R35" i="2"/>
  <c r="R33" i="2"/>
  <c r="R31" i="2"/>
  <c r="R30" i="2"/>
  <c r="R29" i="2"/>
  <c r="R28" i="2"/>
  <c r="B107" i="2" l="1"/>
  <c r="B105" i="2"/>
  <c r="C33" i="16" s="1"/>
  <c r="B77" i="2"/>
  <c r="B82" i="2" s="1"/>
  <c r="K23" i="1" l="1"/>
  <c r="K20" i="1"/>
  <c r="D10" i="1"/>
  <c r="D11" i="1"/>
  <c r="D35" i="1"/>
  <c r="D13" i="1"/>
  <c r="D12" i="1"/>
  <c r="D23" i="1"/>
  <c r="D20" i="1"/>
  <c r="D36" i="1"/>
  <c r="B165" i="2" l="1"/>
  <c r="BM5" i="25" l="1"/>
  <c r="BL5" i="25"/>
  <c r="BN5" i="24"/>
  <c r="I56" i="2"/>
  <c r="B263" i="2"/>
  <c r="F13" i="1"/>
  <c r="B12" i="2"/>
  <c r="CB110" i="25" l="1"/>
  <c r="B248" i="2"/>
  <c r="G111" i="25"/>
  <c r="G115" i="25"/>
  <c r="G119" i="25"/>
  <c r="G123" i="25"/>
  <c r="G127" i="25"/>
  <c r="G131" i="25"/>
  <c r="G135" i="25"/>
  <c r="G139" i="25"/>
  <c r="G143" i="25"/>
  <c r="G147" i="25"/>
  <c r="G151" i="25"/>
  <c r="G155" i="25"/>
  <c r="G159" i="25"/>
  <c r="G163" i="25"/>
  <c r="G167" i="25"/>
  <c r="G171" i="25"/>
  <c r="G175" i="25"/>
  <c r="G179" i="25"/>
  <c r="G183" i="25"/>
  <c r="G187" i="25"/>
  <c r="G191" i="25"/>
  <c r="G195" i="25"/>
  <c r="G199" i="25"/>
  <c r="G203" i="25"/>
  <c r="G207" i="25"/>
  <c r="G216" i="25"/>
  <c r="G220" i="25"/>
  <c r="I220" i="25" s="1"/>
  <c r="G224" i="25"/>
  <c r="I224" i="25" s="1"/>
  <c r="G228" i="25"/>
  <c r="I228" i="25" s="1"/>
  <c r="G232" i="25"/>
  <c r="I232" i="25" s="1"/>
  <c r="G236" i="25"/>
  <c r="I236" i="25" s="1"/>
  <c r="G240" i="25"/>
  <c r="I240" i="25" s="1"/>
  <c r="G244" i="25"/>
  <c r="I244" i="25" s="1"/>
  <c r="G248" i="25"/>
  <c r="I248" i="25" s="1"/>
  <c r="G252" i="25"/>
  <c r="I252" i="25" s="1"/>
  <c r="G256" i="25"/>
  <c r="I256" i="25" s="1"/>
  <c r="G260" i="25"/>
  <c r="I260" i="25" s="1"/>
  <c r="G264" i="25"/>
  <c r="I264" i="25" s="1"/>
  <c r="G268" i="25"/>
  <c r="I268" i="25" s="1"/>
  <c r="G272" i="25"/>
  <c r="I272" i="25" s="1"/>
  <c r="G276" i="25"/>
  <c r="I276" i="25" s="1"/>
  <c r="G280" i="25"/>
  <c r="I280" i="25" s="1"/>
  <c r="G284" i="25"/>
  <c r="I284" i="25" s="1"/>
  <c r="G288" i="25"/>
  <c r="I288" i="25" s="1"/>
  <c r="G292" i="25"/>
  <c r="I292" i="25" s="1"/>
  <c r="G296" i="25"/>
  <c r="I296" i="25" s="1"/>
  <c r="G300" i="25"/>
  <c r="I300" i="25" s="1"/>
  <c r="G304" i="25"/>
  <c r="I304" i="25" s="1"/>
  <c r="G308" i="25"/>
  <c r="I308" i="25" s="1"/>
  <c r="G312" i="25"/>
  <c r="I312" i="25" s="1"/>
  <c r="G316" i="25"/>
  <c r="I316" i="25" s="1"/>
  <c r="G8" i="25"/>
  <c r="BM8" i="25" s="1"/>
  <c r="G12" i="25"/>
  <c r="BM12" i="25" s="1"/>
  <c r="G16" i="25"/>
  <c r="BM16" i="25" s="1"/>
  <c r="G20" i="25"/>
  <c r="BM20" i="25" s="1"/>
  <c r="G24" i="25"/>
  <c r="BM24" i="25" s="1"/>
  <c r="G28" i="25"/>
  <c r="BM28" i="25" s="1"/>
  <c r="G32" i="25"/>
  <c r="BM32" i="25" s="1"/>
  <c r="G36" i="25"/>
  <c r="BM36" i="25" s="1"/>
  <c r="G40" i="25"/>
  <c r="BM40" i="25" s="1"/>
  <c r="G44" i="25"/>
  <c r="BM44" i="25" s="1"/>
  <c r="G48" i="25"/>
  <c r="BM48" i="25" s="1"/>
  <c r="G52" i="25"/>
  <c r="BM52" i="25" s="1"/>
  <c r="G56" i="25"/>
  <c r="BM56" i="25" s="1"/>
  <c r="G60" i="25"/>
  <c r="BM60" i="25" s="1"/>
  <c r="G64" i="25"/>
  <c r="BM64" i="25" s="1"/>
  <c r="G68" i="25"/>
  <c r="BM68" i="25" s="1"/>
  <c r="G72" i="25"/>
  <c r="BM72" i="25" s="1"/>
  <c r="G76" i="25"/>
  <c r="BM76" i="25" s="1"/>
  <c r="G80" i="25"/>
  <c r="BM80" i="25" s="1"/>
  <c r="G84" i="25"/>
  <c r="BM84" i="25" s="1"/>
  <c r="G88" i="25"/>
  <c r="BM88" i="25" s="1"/>
  <c r="G92" i="25"/>
  <c r="BM92" i="25" s="1"/>
  <c r="G96" i="25"/>
  <c r="BM96" i="25" s="1"/>
  <c r="G100" i="25"/>
  <c r="BM100" i="25" s="1"/>
  <c r="G104" i="25"/>
  <c r="BM104" i="25" s="1"/>
  <c r="G118" i="25"/>
  <c r="G150" i="25"/>
  <c r="G162" i="25"/>
  <c r="G174" i="25"/>
  <c r="G112" i="25"/>
  <c r="G116" i="25"/>
  <c r="G120" i="25"/>
  <c r="G124" i="25"/>
  <c r="G128" i="25"/>
  <c r="G132" i="25"/>
  <c r="G136" i="25"/>
  <c r="G140" i="25"/>
  <c r="G144" i="25"/>
  <c r="G148" i="25"/>
  <c r="G152" i="25"/>
  <c r="G156" i="25"/>
  <c r="G160" i="25"/>
  <c r="G164" i="25"/>
  <c r="G168" i="25"/>
  <c r="G172" i="25"/>
  <c r="G176" i="25"/>
  <c r="G180" i="25"/>
  <c r="G184" i="25"/>
  <c r="G188" i="25"/>
  <c r="G192" i="25"/>
  <c r="G196" i="25"/>
  <c r="G200" i="25"/>
  <c r="G204" i="25"/>
  <c r="G208" i="25"/>
  <c r="G217" i="25"/>
  <c r="I217" i="25" s="1"/>
  <c r="G221" i="25"/>
  <c r="I221" i="25" s="1"/>
  <c r="G225" i="25"/>
  <c r="I225" i="25" s="1"/>
  <c r="G229" i="25"/>
  <c r="I229" i="25" s="1"/>
  <c r="G233" i="25"/>
  <c r="I233" i="25" s="1"/>
  <c r="G237" i="25"/>
  <c r="I237" i="25" s="1"/>
  <c r="G241" i="25"/>
  <c r="I241" i="25" s="1"/>
  <c r="G245" i="25"/>
  <c r="I245" i="25" s="1"/>
  <c r="G249" i="25"/>
  <c r="I249" i="25" s="1"/>
  <c r="G253" i="25"/>
  <c r="I253" i="25" s="1"/>
  <c r="G257" i="25"/>
  <c r="I257" i="25" s="1"/>
  <c r="G261" i="25"/>
  <c r="I261" i="25" s="1"/>
  <c r="G265" i="25"/>
  <c r="I265" i="25" s="1"/>
  <c r="G269" i="25"/>
  <c r="I269" i="25" s="1"/>
  <c r="G273" i="25"/>
  <c r="I273" i="25" s="1"/>
  <c r="G277" i="25"/>
  <c r="I277" i="25" s="1"/>
  <c r="G281" i="25"/>
  <c r="I281" i="25" s="1"/>
  <c r="G285" i="25"/>
  <c r="I285" i="25" s="1"/>
  <c r="G289" i="25"/>
  <c r="I289" i="25" s="1"/>
  <c r="G293" i="25"/>
  <c r="I293" i="25" s="1"/>
  <c r="G297" i="25"/>
  <c r="I297" i="25" s="1"/>
  <c r="G301" i="25"/>
  <c r="I301" i="25" s="1"/>
  <c r="G305" i="25"/>
  <c r="I305" i="25" s="1"/>
  <c r="G309" i="25"/>
  <c r="I309" i="25" s="1"/>
  <c r="G313" i="25"/>
  <c r="I313" i="25" s="1"/>
  <c r="G9" i="25"/>
  <c r="BM9" i="25" s="1"/>
  <c r="G13" i="25"/>
  <c r="BM13" i="25" s="1"/>
  <c r="G17" i="25"/>
  <c r="BM17" i="25" s="1"/>
  <c r="G21" i="25"/>
  <c r="BM21" i="25" s="1"/>
  <c r="G25" i="25"/>
  <c r="BM25" i="25" s="1"/>
  <c r="G29" i="25"/>
  <c r="BM29" i="25" s="1"/>
  <c r="G33" i="25"/>
  <c r="BM33" i="25" s="1"/>
  <c r="G37" i="25"/>
  <c r="BM37" i="25" s="1"/>
  <c r="G41" i="25"/>
  <c r="BM41" i="25" s="1"/>
  <c r="G45" i="25"/>
  <c r="BM45" i="25" s="1"/>
  <c r="G49" i="25"/>
  <c r="BM49" i="25" s="1"/>
  <c r="G53" i="25"/>
  <c r="BM53" i="25" s="1"/>
  <c r="G57" i="25"/>
  <c r="BM57" i="25" s="1"/>
  <c r="G61" i="25"/>
  <c r="BM61" i="25" s="1"/>
  <c r="G65" i="25"/>
  <c r="BM65" i="25" s="1"/>
  <c r="G69" i="25"/>
  <c r="BM69" i="25" s="1"/>
  <c r="G73" i="25"/>
  <c r="BM73" i="25" s="1"/>
  <c r="G77" i="25"/>
  <c r="BM77" i="25" s="1"/>
  <c r="G81" i="25"/>
  <c r="BM81" i="25" s="1"/>
  <c r="G85" i="25"/>
  <c r="BM85" i="25" s="1"/>
  <c r="G89" i="25"/>
  <c r="BM89" i="25" s="1"/>
  <c r="G93" i="25"/>
  <c r="BM93" i="25" s="1"/>
  <c r="G97" i="25"/>
  <c r="BM97" i="25" s="1"/>
  <c r="G101" i="25"/>
  <c r="BM101" i="25" s="1"/>
  <c r="G105" i="25"/>
  <c r="BM105" i="25" s="1"/>
  <c r="G122" i="25"/>
  <c r="G154" i="25"/>
  <c r="G170" i="25"/>
  <c r="G113" i="25"/>
  <c r="G117" i="25"/>
  <c r="G121" i="25"/>
  <c r="G125" i="25"/>
  <c r="G129" i="25"/>
  <c r="G133" i="25"/>
  <c r="G137" i="25"/>
  <c r="G141" i="25"/>
  <c r="G145" i="25"/>
  <c r="G149" i="25"/>
  <c r="G153" i="25"/>
  <c r="G157" i="25"/>
  <c r="G161" i="25"/>
  <c r="G165" i="25"/>
  <c r="G169" i="25"/>
  <c r="G173" i="25"/>
  <c r="G177" i="25"/>
  <c r="G181" i="25"/>
  <c r="G185" i="25"/>
  <c r="G189" i="25"/>
  <c r="G193" i="25"/>
  <c r="G197" i="25"/>
  <c r="G201" i="25"/>
  <c r="G205" i="25"/>
  <c r="G209" i="25"/>
  <c r="G218" i="25"/>
  <c r="I218" i="25" s="1"/>
  <c r="G222" i="25"/>
  <c r="I222" i="25" s="1"/>
  <c r="G226" i="25"/>
  <c r="I226" i="25" s="1"/>
  <c r="G230" i="25"/>
  <c r="I230" i="25" s="1"/>
  <c r="G234" i="25"/>
  <c r="I234" i="25" s="1"/>
  <c r="G238" i="25"/>
  <c r="I238" i="25" s="1"/>
  <c r="G242" i="25"/>
  <c r="I242" i="25" s="1"/>
  <c r="G246" i="25"/>
  <c r="I246" i="25" s="1"/>
  <c r="G250" i="25"/>
  <c r="I250" i="25" s="1"/>
  <c r="G254" i="25"/>
  <c r="I254" i="25" s="1"/>
  <c r="G258" i="25"/>
  <c r="I258" i="25" s="1"/>
  <c r="G262" i="25"/>
  <c r="I262" i="25" s="1"/>
  <c r="G266" i="25"/>
  <c r="I266" i="25" s="1"/>
  <c r="G270" i="25"/>
  <c r="I270" i="25" s="1"/>
  <c r="G274" i="25"/>
  <c r="I274" i="25" s="1"/>
  <c r="G278" i="25"/>
  <c r="I278" i="25" s="1"/>
  <c r="G282" i="25"/>
  <c r="I282" i="25" s="1"/>
  <c r="G286" i="25"/>
  <c r="I286" i="25" s="1"/>
  <c r="G290" i="25"/>
  <c r="I290" i="25" s="1"/>
  <c r="G294" i="25"/>
  <c r="I294" i="25" s="1"/>
  <c r="G298" i="25"/>
  <c r="I298" i="25" s="1"/>
  <c r="G302" i="25"/>
  <c r="I302" i="25" s="1"/>
  <c r="G306" i="25"/>
  <c r="I306" i="25" s="1"/>
  <c r="G310" i="25"/>
  <c r="I310" i="25" s="1"/>
  <c r="G314" i="25"/>
  <c r="I314" i="25" s="1"/>
  <c r="G10" i="25"/>
  <c r="BM10" i="25" s="1"/>
  <c r="G14" i="25"/>
  <c r="BM14" i="25" s="1"/>
  <c r="G18" i="25"/>
  <c r="BM18" i="25" s="1"/>
  <c r="G22" i="25"/>
  <c r="BM22" i="25" s="1"/>
  <c r="G26" i="25"/>
  <c r="BM26" i="25" s="1"/>
  <c r="G30" i="25"/>
  <c r="BM30" i="25" s="1"/>
  <c r="G34" i="25"/>
  <c r="BM34" i="25" s="1"/>
  <c r="G38" i="25"/>
  <c r="BM38" i="25" s="1"/>
  <c r="G42" i="25"/>
  <c r="BM42" i="25" s="1"/>
  <c r="G46" i="25"/>
  <c r="BM46" i="25" s="1"/>
  <c r="G50" i="25"/>
  <c r="BM50" i="25" s="1"/>
  <c r="G54" i="25"/>
  <c r="BM54" i="25" s="1"/>
  <c r="G58" i="25"/>
  <c r="BM58" i="25" s="1"/>
  <c r="G62" i="25"/>
  <c r="BM62" i="25" s="1"/>
  <c r="G66" i="25"/>
  <c r="BM66" i="25" s="1"/>
  <c r="G70" i="25"/>
  <c r="BM70" i="25" s="1"/>
  <c r="G74" i="25"/>
  <c r="BM74" i="25" s="1"/>
  <c r="G78" i="25"/>
  <c r="BM78" i="25" s="1"/>
  <c r="G82" i="25"/>
  <c r="BM82" i="25" s="1"/>
  <c r="G86" i="25"/>
  <c r="BM86" i="25" s="1"/>
  <c r="G90" i="25"/>
  <c r="BM90" i="25" s="1"/>
  <c r="G94" i="25"/>
  <c r="BM94" i="25" s="1"/>
  <c r="G98" i="25"/>
  <c r="BM98" i="25" s="1"/>
  <c r="G102" i="25"/>
  <c r="BM102" i="25" s="1"/>
  <c r="G7" i="25"/>
  <c r="BM7" i="25" s="1"/>
  <c r="G110" i="25"/>
  <c r="G114" i="25"/>
  <c r="G126" i="25"/>
  <c r="G130" i="25"/>
  <c r="G134" i="25"/>
  <c r="G138" i="25"/>
  <c r="G142" i="25"/>
  <c r="G146" i="25"/>
  <c r="G158" i="25"/>
  <c r="G166" i="25"/>
  <c r="G182" i="25"/>
  <c r="G198" i="25"/>
  <c r="G219" i="25"/>
  <c r="I219" i="25" s="1"/>
  <c r="G235" i="25"/>
  <c r="I235" i="25" s="1"/>
  <c r="G251" i="25"/>
  <c r="I251" i="25" s="1"/>
  <c r="G267" i="25"/>
  <c r="I267" i="25" s="1"/>
  <c r="G283" i="25"/>
  <c r="I283" i="25" s="1"/>
  <c r="G299" i="25"/>
  <c r="I299" i="25" s="1"/>
  <c r="G315" i="25"/>
  <c r="I315" i="25" s="1"/>
  <c r="G11" i="25"/>
  <c r="BM11" i="25" s="1"/>
  <c r="G27" i="25"/>
  <c r="BM27" i="25" s="1"/>
  <c r="G43" i="25"/>
  <c r="BM43" i="25" s="1"/>
  <c r="G59" i="25"/>
  <c r="BM59" i="25" s="1"/>
  <c r="G75" i="25"/>
  <c r="BM75" i="25" s="1"/>
  <c r="G91" i="25"/>
  <c r="BM91" i="25" s="1"/>
  <c r="G6" i="25"/>
  <c r="BM6" i="25" s="1"/>
  <c r="G186" i="25"/>
  <c r="G255" i="25"/>
  <c r="I255" i="25" s="1"/>
  <c r="G303" i="25"/>
  <c r="I303" i="25" s="1"/>
  <c r="G47" i="25"/>
  <c r="BM47" i="25" s="1"/>
  <c r="G95" i="25"/>
  <c r="BM95" i="25" s="1"/>
  <c r="G190" i="25"/>
  <c r="G206" i="25"/>
  <c r="G227" i="25"/>
  <c r="I227" i="25" s="1"/>
  <c r="G243" i="25"/>
  <c r="I243" i="25" s="1"/>
  <c r="G259" i="25"/>
  <c r="I259" i="25" s="1"/>
  <c r="G275" i="25"/>
  <c r="I275" i="25" s="1"/>
  <c r="G291" i="25"/>
  <c r="I291" i="25" s="1"/>
  <c r="G307" i="25"/>
  <c r="I307" i="25" s="1"/>
  <c r="G19" i="25"/>
  <c r="BM19" i="25" s="1"/>
  <c r="G35" i="25"/>
  <c r="BM35" i="25" s="1"/>
  <c r="G51" i="25"/>
  <c r="BM51" i="25" s="1"/>
  <c r="G67" i="25"/>
  <c r="BM67" i="25" s="1"/>
  <c r="G83" i="25"/>
  <c r="BM83" i="25" s="1"/>
  <c r="G99" i="25"/>
  <c r="BM99" i="25" s="1"/>
  <c r="G87" i="25"/>
  <c r="BM87" i="25" s="1"/>
  <c r="G223" i="25"/>
  <c r="I223" i="25" s="1"/>
  <c r="G239" i="25"/>
  <c r="I239" i="25" s="1"/>
  <c r="G287" i="25"/>
  <c r="I287" i="25" s="1"/>
  <c r="G15" i="25"/>
  <c r="BM15" i="25" s="1"/>
  <c r="G63" i="25"/>
  <c r="BM63" i="25" s="1"/>
  <c r="G178" i="25"/>
  <c r="G194" i="25"/>
  <c r="G210" i="25"/>
  <c r="G231" i="25"/>
  <c r="I231" i="25" s="1"/>
  <c r="G247" i="25"/>
  <c r="I247" i="25" s="1"/>
  <c r="G263" i="25"/>
  <c r="I263" i="25" s="1"/>
  <c r="G279" i="25"/>
  <c r="I279" i="25" s="1"/>
  <c r="G295" i="25"/>
  <c r="I295" i="25" s="1"/>
  <c r="G311" i="25"/>
  <c r="I311" i="25" s="1"/>
  <c r="G23" i="25"/>
  <c r="BM23" i="25" s="1"/>
  <c r="G39" i="25"/>
  <c r="BM39" i="25" s="1"/>
  <c r="G55" i="25"/>
  <c r="BM55" i="25" s="1"/>
  <c r="G71" i="25"/>
  <c r="BM71" i="25" s="1"/>
  <c r="G103" i="25"/>
  <c r="BM103" i="25" s="1"/>
  <c r="G202" i="25"/>
  <c r="G271" i="25"/>
  <c r="I271" i="25" s="1"/>
  <c r="G31" i="25"/>
  <c r="BM31" i="25" s="1"/>
  <c r="G79" i="25"/>
  <c r="BM79" i="25" s="1"/>
  <c r="F7" i="25"/>
  <c r="BL7" i="25" s="1"/>
  <c r="F6" i="25"/>
  <c r="BL6" i="25" s="1"/>
  <c r="I158" i="25" l="1"/>
  <c r="BM158" i="25"/>
  <c r="BM110" i="25"/>
  <c r="BP110" i="25" s="1"/>
  <c r="I189" i="25"/>
  <c r="BM189" i="25"/>
  <c r="I157" i="25"/>
  <c r="BM157" i="25"/>
  <c r="I125" i="25"/>
  <c r="BM125" i="25"/>
  <c r="I170" i="25"/>
  <c r="BM170" i="25"/>
  <c r="I180" i="25"/>
  <c r="BM180" i="25"/>
  <c r="I148" i="25"/>
  <c r="BM148" i="25"/>
  <c r="I116" i="25"/>
  <c r="BM116" i="25"/>
  <c r="I150" i="25"/>
  <c r="BM150" i="25"/>
  <c r="I195" i="25"/>
  <c r="BM195" i="25"/>
  <c r="I163" i="25"/>
  <c r="BM163" i="25"/>
  <c r="I131" i="25"/>
  <c r="BM131" i="25"/>
  <c r="I190" i="25"/>
  <c r="BM190" i="25"/>
  <c r="I198" i="25"/>
  <c r="BM198" i="25"/>
  <c r="I146" i="25"/>
  <c r="BM146" i="25"/>
  <c r="I130" i="25"/>
  <c r="BM130" i="25"/>
  <c r="I201" i="25"/>
  <c r="BM201" i="25"/>
  <c r="I169" i="25"/>
  <c r="BM169" i="25"/>
  <c r="I137" i="25"/>
  <c r="BM137" i="25"/>
  <c r="I154" i="25"/>
  <c r="BM154" i="25"/>
  <c r="I192" i="25"/>
  <c r="BM192" i="25"/>
  <c r="I160" i="25"/>
  <c r="BM160" i="25"/>
  <c r="I128" i="25"/>
  <c r="BM128" i="25"/>
  <c r="I207" i="25"/>
  <c r="BM207" i="25"/>
  <c r="I175" i="25"/>
  <c r="BM175" i="25"/>
  <c r="I143" i="25"/>
  <c r="BM143" i="25"/>
  <c r="I111" i="25"/>
  <c r="BM111" i="25"/>
  <c r="I202" i="25"/>
  <c r="BM202" i="25"/>
  <c r="I210" i="25"/>
  <c r="BM210" i="25"/>
  <c r="I166" i="25"/>
  <c r="BM166" i="25"/>
  <c r="I138" i="25"/>
  <c r="BM138" i="25"/>
  <c r="I114" i="25"/>
  <c r="BM114" i="25"/>
  <c r="I209" i="25"/>
  <c r="BM209" i="25"/>
  <c r="I193" i="25"/>
  <c r="BM193" i="25"/>
  <c r="I177" i="25"/>
  <c r="BM177" i="25"/>
  <c r="I161" i="25"/>
  <c r="BM161" i="25"/>
  <c r="I145" i="25"/>
  <c r="BM145" i="25"/>
  <c r="I129" i="25"/>
  <c r="BM129" i="25"/>
  <c r="I113" i="25"/>
  <c r="BM113" i="25"/>
  <c r="I200" i="25"/>
  <c r="BM200" i="25"/>
  <c r="I184" i="25"/>
  <c r="BM184" i="25"/>
  <c r="I168" i="25"/>
  <c r="BM168" i="25"/>
  <c r="I152" i="25"/>
  <c r="BM152" i="25"/>
  <c r="I136" i="25"/>
  <c r="BM136" i="25"/>
  <c r="I120" i="25"/>
  <c r="BM120" i="25"/>
  <c r="I162" i="25"/>
  <c r="BM162" i="25"/>
  <c r="I199" i="25"/>
  <c r="BM199" i="25"/>
  <c r="I183" i="25"/>
  <c r="BM183" i="25"/>
  <c r="I167" i="25"/>
  <c r="BM167" i="25"/>
  <c r="I151" i="25"/>
  <c r="BM151" i="25"/>
  <c r="I135" i="25"/>
  <c r="BM135" i="25"/>
  <c r="I119" i="25"/>
  <c r="BM119" i="25"/>
  <c r="I194" i="25"/>
  <c r="BM194" i="25"/>
  <c r="I206" i="25"/>
  <c r="BM206" i="25"/>
  <c r="I134" i="25"/>
  <c r="BM134" i="25"/>
  <c r="I205" i="25"/>
  <c r="BM205" i="25"/>
  <c r="I173" i="25"/>
  <c r="BM173" i="25"/>
  <c r="I141" i="25"/>
  <c r="BM141" i="25"/>
  <c r="I196" i="25"/>
  <c r="BM196" i="25"/>
  <c r="I164" i="25"/>
  <c r="BM164" i="25"/>
  <c r="I132" i="25"/>
  <c r="BM132" i="25"/>
  <c r="I179" i="25"/>
  <c r="BM179" i="25"/>
  <c r="I147" i="25"/>
  <c r="BM147" i="25"/>
  <c r="I115" i="25"/>
  <c r="BM115" i="25"/>
  <c r="I178" i="25"/>
  <c r="BM178" i="25"/>
  <c r="I185" i="25"/>
  <c r="BM185" i="25"/>
  <c r="I153" i="25"/>
  <c r="BM153" i="25"/>
  <c r="I121" i="25"/>
  <c r="BM121" i="25"/>
  <c r="I208" i="25"/>
  <c r="BM208" i="25"/>
  <c r="I176" i="25"/>
  <c r="BM176" i="25"/>
  <c r="I144" i="25"/>
  <c r="BM144" i="25"/>
  <c r="I112" i="25"/>
  <c r="BM112" i="25"/>
  <c r="I118" i="25"/>
  <c r="BM118" i="25"/>
  <c r="I191" i="25"/>
  <c r="BM191" i="25"/>
  <c r="I159" i="25"/>
  <c r="BM159" i="25"/>
  <c r="I127" i="25"/>
  <c r="BM127" i="25"/>
  <c r="I186" i="25"/>
  <c r="BM186" i="25"/>
  <c r="I182" i="25"/>
  <c r="BM182" i="25"/>
  <c r="I142" i="25"/>
  <c r="BM142" i="25"/>
  <c r="I126" i="25"/>
  <c r="BM126" i="25"/>
  <c r="I197" i="25"/>
  <c r="BM197" i="25"/>
  <c r="I181" i="25"/>
  <c r="BM181" i="25"/>
  <c r="I165" i="25"/>
  <c r="BM165" i="25"/>
  <c r="I149" i="25"/>
  <c r="BM149" i="25"/>
  <c r="I133" i="25"/>
  <c r="BM133" i="25"/>
  <c r="I117" i="25"/>
  <c r="BM117" i="25"/>
  <c r="I122" i="25"/>
  <c r="BM122" i="25"/>
  <c r="I204" i="25"/>
  <c r="BM204" i="25"/>
  <c r="I188" i="25"/>
  <c r="BM188" i="25"/>
  <c r="I172" i="25"/>
  <c r="BM172" i="25"/>
  <c r="I156" i="25"/>
  <c r="BM156" i="25"/>
  <c r="I140" i="25"/>
  <c r="BM140" i="25"/>
  <c r="I124" i="25"/>
  <c r="BM124" i="25"/>
  <c r="I174" i="25"/>
  <c r="BM174" i="25"/>
  <c r="I203" i="25"/>
  <c r="BM203" i="25"/>
  <c r="I187" i="25"/>
  <c r="BM187" i="25"/>
  <c r="I171" i="25"/>
  <c r="BM171" i="25"/>
  <c r="I155" i="25"/>
  <c r="BM155" i="25"/>
  <c r="I139" i="25"/>
  <c r="BM139" i="25"/>
  <c r="I123" i="25"/>
  <c r="BM123" i="25"/>
  <c r="CB6" i="25"/>
  <c r="CB7" i="25"/>
  <c r="I6" i="25"/>
  <c r="I7" i="25"/>
  <c r="I67" i="25"/>
  <c r="I86" i="25"/>
  <c r="I54" i="25"/>
  <c r="I22" i="25"/>
  <c r="I93" i="25"/>
  <c r="I61" i="25"/>
  <c r="I29" i="25"/>
  <c r="I104" i="25"/>
  <c r="I88" i="25"/>
  <c r="I72" i="25"/>
  <c r="I56" i="25"/>
  <c r="I40" i="25"/>
  <c r="I24" i="25"/>
  <c r="I8" i="25"/>
  <c r="I39" i="25"/>
  <c r="I15" i="25"/>
  <c r="I87" i="25"/>
  <c r="I51" i="25"/>
  <c r="I47" i="25"/>
  <c r="I43" i="25"/>
  <c r="I98" i="25"/>
  <c r="I82" i="25"/>
  <c r="I66" i="25"/>
  <c r="I50" i="25"/>
  <c r="I34" i="25"/>
  <c r="I18" i="25"/>
  <c r="I105" i="25"/>
  <c r="I89" i="25"/>
  <c r="I73" i="25"/>
  <c r="I57" i="25"/>
  <c r="I41" i="25"/>
  <c r="I25" i="25"/>
  <c r="I9" i="25"/>
  <c r="I100" i="25"/>
  <c r="I84" i="25"/>
  <c r="I68" i="25"/>
  <c r="I52" i="25"/>
  <c r="I36" i="25"/>
  <c r="I20" i="25"/>
  <c r="I59" i="25"/>
  <c r="I102" i="25"/>
  <c r="I38" i="25"/>
  <c r="I77" i="25"/>
  <c r="I13" i="25"/>
  <c r="I79" i="25"/>
  <c r="I23" i="25"/>
  <c r="I99" i="25"/>
  <c r="I91" i="25"/>
  <c r="I27" i="25"/>
  <c r="I94" i="25"/>
  <c r="I78" i="25"/>
  <c r="I62" i="25"/>
  <c r="I46" i="25"/>
  <c r="I30" i="25"/>
  <c r="I14" i="25"/>
  <c r="I101" i="25"/>
  <c r="I85" i="25"/>
  <c r="I69" i="25"/>
  <c r="I53" i="25"/>
  <c r="I37" i="25"/>
  <c r="I21" i="25"/>
  <c r="I96" i="25"/>
  <c r="I80" i="25"/>
  <c r="I64" i="25"/>
  <c r="I48" i="25"/>
  <c r="I32" i="25"/>
  <c r="I16" i="25"/>
  <c r="I55" i="25"/>
  <c r="I63" i="25"/>
  <c r="I95" i="25"/>
  <c r="I70" i="25"/>
  <c r="I45" i="25"/>
  <c r="I103" i="25"/>
  <c r="I35" i="25"/>
  <c r="I31" i="25"/>
  <c r="I71" i="25"/>
  <c r="I83" i="25"/>
  <c r="I19" i="25"/>
  <c r="I75" i="25"/>
  <c r="I11" i="25"/>
  <c r="I90" i="25"/>
  <c r="I74" i="25"/>
  <c r="I58" i="25"/>
  <c r="I42" i="25"/>
  <c r="I26" i="25"/>
  <c r="I10" i="25"/>
  <c r="I97" i="25"/>
  <c r="I81" i="25"/>
  <c r="I65" i="25"/>
  <c r="I49" i="25"/>
  <c r="I33" i="25"/>
  <c r="I17" i="25"/>
  <c r="I92" i="25"/>
  <c r="I76" i="25"/>
  <c r="I60" i="25"/>
  <c r="I44" i="25"/>
  <c r="I28" i="25"/>
  <c r="I12" i="25"/>
  <c r="I110" i="25"/>
  <c r="I216" i="25"/>
  <c r="B212" i="2"/>
  <c r="A210" i="2"/>
  <c r="B52" i="2"/>
  <c r="D209" i="2" l="1"/>
  <c r="A209" i="2"/>
  <c r="D208" i="2" l="1"/>
  <c r="D264" i="2"/>
  <c r="F12" i="1"/>
  <c r="C227" i="2"/>
  <c r="C236" i="2"/>
  <c r="D236" i="2"/>
  <c r="B47" i="19"/>
  <c r="B31" i="2" l="1"/>
  <c r="B20" i="2"/>
  <c r="B21" i="2"/>
  <c r="B24" i="2"/>
  <c r="C213" i="2"/>
  <c r="C52" i="2"/>
  <c r="B76" i="2"/>
  <c r="B81" i="2" s="1"/>
  <c r="B103" i="2" l="1"/>
  <c r="B58" i="2"/>
  <c r="C58" i="2"/>
  <c r="B264" i="2"/>
  <c r="C212" i="2"/>
  <c r="F212" i="2"/>
  <c r="D212" i="2"/>
  <c r="B209" i="2"/>
  <c r="B210" i="2"/>
  <c r="B124" i="2"/>
  <c r="B120" i="2"/>
  <c r="B220" i="2" s="1"/>
  <c r="B97" i="2"/>
  <c r="B95" i="2"/>
  <c r="D32" i="1"/>
  <c r="AM5" i="24"/>
  <c r="AM216" i="24"/>
  <c r="AM110" i="24"/>
  <c r="B215" i="2" l="1"/>
  <c r="B216" i="2"/>
  <c r="C32" i="16"/>
  <c r="B218" i="2"/>
  <c r="C31" i="16"/>
  <c r="I6"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I99" i="24"/>
  <c r="I100" i="24"/>
  <c r="I101" i="24"/>
  <c r="I102" i="24"/>
  <c r="I103" i="24"/>
  <c r="I104" i="24"/>
  <c r="I105" i="24"/>
  <c r="I5" i="24"/>
  <c r="D21" i="19"/>
  <c r="D36" i="19"/>
  <c r="F12" i="19"/>
  <c r="D37" i="19"/>
  <c r="D35" i="19"/>
  <c r="B41" i="2"/>
  <c r="C41" i="16" s="1"/>
  <c r="D41" i="16" s="1"/>
  <c r="B33" i="19"/>
  <c r="F56" i="2"/>
  <c r="F50" i="2"/>
  <c r="D29" i="1"/>
  <c r="G237" i="2"/>
  <c r="C232" i="2"/>
  <c r="C233" i="2"/>
  <c r="A241" i="2"/>
  <c r="G51" i="2"/>
  <c r="A199" i="2"/>
  <c r="C245" i="2"/>
  <c r="U2" i="24" l="1"/>
  <c r="B162" i="2"/>
  <c r="B166" i="2" s="1"/>
  <c r="I9" i="8" s="1"/>
  <c r="I10" i="8"/>
  <c r="B147" i="2"/>
  <c r="B144" i="2"/>
  <c r="B56" i="2" l="1"/>
  <c r="C189" i="2"/>
  <c r="K44" i="2"/>
  <c r="K34" i="16" l="1"/>
  <c r="J34" i="16"/>
  <c r="K43" i="16"/>
  <c r="K42" i="16"/>
  <c r="J43" i="16"/>
  <c r="J42" i="16"/>
  <c r="I43" i="16" l="1"/>
  <c r="I42" i="16"/>
  <c r="H43" i="16"/>
  <c r="H42" i="16"/>
  <c r="J40" i="16"/>
  <c r="K40" i="16"/>
  <c r="K32" i="16"/>
  <c r="J32" i="16"/>
  <c r="K31" i="16"/>
  <c r="J31" i="16" l="1"/>
  <c r="T61" i="2"/>
  <c r="R61" i="2"/>
  <c r="B11" i="2" l="1"/>
  <c r="B33" i="2" s="1"/>
  <c r="B26" i="19"/>
  <c r="D26" i="19" s="1"/>
  <c r="B20" i="19"/>
  <c r="D20" i="19" s="1"/>
  <c r="B27" i="19"/>
  <c r="D27" i="19" s="1"/>
  <c r="B8" i="2"/>
  <c r="B115" i="2" s="1"/>
  <c r="B75" i="2"/>
  <c r="B80" i="2" s="1"/>
  <c r="B73" i="2"/>
  <c r="B123" i="2"/>
  <c r="BP106" i="19"/>
  <c r="D45" i="19"/>
  <c r="A34" i="16"/>
  <c r="A43" i="16"/>
  <c r="A42" i="16"/>
  <c r="C246" i="2"/>
  <c r="B261" i="2"/>
  <c r="B236" i="2"/>
  <c r="B232" i="2"/>
  <c r="J50" i="2"/>
  <c r="C229" i="2"/>
  <c r="B229" i="2"/>
  <c r="B32" i="19"/>
  <c r="D32" i="19" s="1"/>
  <c r="B31" i="19"/>
  <c r="D31" i="19" s="1"/>
  <c r="B30" i="19"/>
  <c r="D30" i="19" s="1"/>
  <c r="B8" i="19"/>
  <c r="D8" i="19" s="1"/>
  <c r="F91" i="19"/>
  <c r="F90" i="19"/>
  <c r="F89" i="19"/>
  <c r="D52" i="19"/>
  <c r="D51" i="19"/>
  <c r="D50" i="19"/>
  <c r="D49" i="19"/>
  <c r="D47" i="19"/>
  <c r="D44" i="19"/>
  <c r="D43" i="19"/>
  <c r="D40" i="19"/>
  <c r="D38" i="19"/>
  <c r="D33" i="19"/>
  <c r="D29" i="19"/>
  <c r="D23" i="19"/>
  <c r="D22" i="19"/>
  <c r="D13" i="19"/>
  <c r="B181" i="2" s="1"/>
  <c r="D12" i="19"/>
  <c r="A31" i="16"/>
  <c r="B214" i="2"/>
  <c r="A213" i="2"/>
  <c r="B9" i="2"/>
  <c r="I6" i="8"/>
  <c r="J6" i="8" s="1"/>
  <c r="D40" i="16"/>
  <c r="C45" i="16"/>
  <c r="B146" i="2"/>
  <c r="B149" i="2" s="1"/>
  <c r="B141" i="2"/>
  <c r="B199" i="2"/>
  <c r="B213" i="2"/>
  <c r="B7" i="2"/>
  <c r="I212" i="24" s="1"/>
  <c r="B132" i="2"/>
  <c r="B134" i="2" s="1"/>
  <c r="B176" i="2"/>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E3" i="8"/>
  <c r="A208" i="2"/>
  <c r="B208" i="2"/>
  <c r="I14" i="8"/>
  <c r="B186" i="2"/>
  <c r="I13" i="8"/>
  <c r="J13" i="8" s="1"/>
  <c r="I7" i="8"/>
  <c r="J7" i="8" s="1"/>
  <c r="J14" i="8"/>
  <c r="B84" i="2" l="1"/>
  <c r="L6" i="1" s="1"/>
  <c r="M212" i="24"/>
  <c r="N212" i="24" s="1"/>
  <c r="K212" i="24"/>
  <c r="G11" i="2"/>
  <c r="B61" i="2"/>
  <c r="M2" i="24"/>
  <c r="S5" i="24"/>
  <c r="T5" i="24" s="1"/>
  <c r="D39" i="16"/>
  <c r="K12" i="2"/>
  <c r="K11" i="2"/>
  <c r="BI9" i="25"/>
  <c r="BI69" i="25"/>
  <c r="BI15" i="25"/>
  <c r="BI31" i="25"/>
  <c r="BI47" i="25"/>
  <c r="BI63" i="25"/>
  <c r="BI79" i="25"/>
  <c r="BI29" i="25"/>
  <c r="BI65" i="25"/>
  <c r="BI8" i="25"/>
  <c r="BI24" i="25"/>
  <c r="BI40" i="25"/>
  <c r="BI56" i="25"/>
  <c r="BI72" i="25"/>
  <c r="BI88" i="25"/>
  <c r="BI49" i="25"/>
  <c r="BI6" i="25"/>
  <c r="BI22" i="25"/>
  <c r="BI38" i="25"/>
  <c r="BI54" i="25"/>
  <c r="BI70" i="25"/>
  <c r="BI86" i="25"/>
  <c r="BI102" i="25"/>
  <c r="BI104" i="25"/>
  <c r="BI97" i="25"/>
  <c r="BI105" i="25"/>
  <c r="BI42" i="25"/>
  <c r="BI74" i="25"/>
  <c r="BI92" i="25"/>
  <c r="BI99" i="25"/>
  <c r="BI27" i="25"/>
  <c r="BI75" i="25"/>
  <c r="BI5" i="25"/>
  <c r="BI68" i="25"/>
  <c r="BI85" i="25"/>
  <c r="BI34" i="25"/>
  <c r="BI82" i="25"/>
  <c r="BI95" i="25"/>
  <c r="BI21" i="25"/>
  <c r="BI81" i="25"/>
  <c r="BI19" i="25"/>
  <c r="BI35" i="25"/>
  <c r="BI51" i="25"/>
  <c r="BI67" i="25"/>
  <c r="BI83" i="25"/>
  <c r="BI33" i="25"/>
  <c r="BI77" i="25"/>
  <c r="BI12" i="25"/>
  <c r="BI28" i="25"/>
  <c r="BI44" i="25"/>
  <c r="BI60" i="25"/>
  <c r="BI76" i="25"/>
  <c r="BI13" i="25"/>
  <c r="BI61" i="25"/>
  <c r="BI10" i="25"/>
  <c r="BI26" i="25"/>
  <c r="BI58" i="25"/>
  <c r="BI90" i="25"/>
  <c r="BI91" i="25"/>
  <c r="BI11" i="25"/>
  <c r="BI17" i="25"/>
  <c r="BI36" i="25"/>
  <c r="BI37" i="25"/>
  <c r="BI50" i="25"/>
  <c r="BI96" i="25"/>
  <c r="BI41" i="25"/>
  <c r="BI7" i="25"/>
  <c r="BI23" i="25"/>
  <c r="BI39" i="25"/>
  <c r="BI55" i="25"/>
  <c r="BI71" i="25"/>
  <c r="BI87" i="25"/>
  <c r="BI45" i="25"/>
  <c r="BI89" i="25"/>
  <c r="BI16" i="25"/>
  <c r="BI32" i="25"/>
  <c r="BI48" i="25"/>
  <c r="BI64" i="25"/>
  <c r="BI80" i="25"/>
  <c r="BI25" i="25"/>
  <c r="BI73" i="25"/>
  <c r="BI14" i="25"/>
  <c r="BI30" i="25"/>
  <c r="BI46" i="25"/>
  <c r="BI62" i="25"/>
  <c r="BI78" i="25"/>
  <c r="BI98" i="25"/>
  <c r="BI100" i="25"/>
  <c r="BI93" i="25"/>
  <c r="BI101" i="25"/>
  <c r="BI53" i="25"/>
  <c r="BI43" i="25"/>
  <c r="BI59" i="25"/>
  <c r="BI57" i="25"/>
  <c r="BI20" i="25"/>
  <c r="BI52" i="25"/>
  <c r="BI84" i="25"/>
  <c r="BI18" i="25"/>
  <c r="BI66" i="25"/>
  <c r="BI94" i="25"/>
  <c r="BI103" i="25"/>
  <c r="BQ5" i="24"/>
  <c r="B28" i="2"/>
  <c r="C39" i="16"/>
  <c r="R42" i="2"/>
  <c r="J210" i="25"/>
  <c r="J206" i="25"/>
  <c r="J202" i="25"/>
  <c r="J198" i="25"/>
  <c r="J194" i="25"/>
  <c r="J190" i="25"/>
  <c r="J186" i="25"/>
  <c r="J182" i="25"/>
  <c r="J178" i="25"/>
  <c r="J174" i="25"/>
  <c r="J170" i="25"/>
  <c r="J166" i="25"/>
  <c r="J162" i="25"/>
  <c r="J158" i="25"/>
  <c r="J154" i="25"/>
  <c r="J150" i="25"/>
  <c r="J146" i="25"/>
  <c r="J142" i="25"/>
  <c r="J138" i="25"/>
  <c r="J134" i="25"/>
  <c r="J130" i="25"/>
  <c r="J126" i="25"/>
  <c r="J122" i="25"/>
  <c r="J118" i="25"/>
  <c r="J114" i="25"/>
  <c r="J207" i="25"/>
  <c r="J179" i="25"/>
  <c r="J167" i="25"/>
  <c r="J155" i="25"/>
  <c r="J147" i="25"/>
  <c r="J135" i="25"/>
  <c r="J119" i="25"/>
  <c r="J111" i="25"/>
  <c r="J209" i="25"/>
  <c r="J205" i="25"/>
  <c r="J201" i="25"/>
  <c r="J197" i="25"/>
  <c r="J193" i="25"/>
  <c r="J189" i="25"/>
  <c r="J185" i="25"/>
  <c r="J181" i="25"/>
  <c r="J177" i="25"/>
  <c r="J173" i="25"/>
  <c r="J169" i="25"/>
  <c r="J165" i="25"/>
  <c r="J161" i="25"/>
  <c r="J157" i="25"/>
  <c r="J153" i="25"/>
  <c r="J149" i="25"/>
  <c r="J145" i="25"/>
  <c r="J141" i="25"/>
  <c r="J137" i="25"/>
  <c r="J133" i="25"/>
  <c r="J129" i="25"/>
  <c r="J125" i="25"/>
  <c r="J121" i="25"/>
  <c r="J117" i="25"/>
  <c r="J113" i="25"/>
  <c r="J110" i="25"/>
  <c r="BI110" i="25" s="1"/>
  <c r="J203" i="25"/>
  <c r="J195" i="25"/>
  <c r="J191" i="25"/>
  <c r="J187" i="25"/>
  <c r="J175" i="25"/>
  <c r="J159" i="25"/>
  <c r="J139" i="25"/>
  <c r="J127" i="25"/>
  <c r="J208" i="25"/>
  <c r="J204" i="25"/>
  <c r="J200" i="25"/>
  <c r="J196" i="25"/>
  <c r="J192" i="25"/>
  <c r="J188" i="25"/>
  <c r="J184" i="25"/>
  <c r="J180" i="25"/>
  <c r="J176" i="25"/>
  <c r="J172" i="25"/>
  <c r="J168" i="25"/>
  <c r="J164" i="25"/>
  <c r="J160" i="25"/>
  <c r="J156" i="25"/>
  <c r="J152" i="25"/>
  <c r="J148" i="25"/>
  <c r="J144" i="25"/>
  <c r="J140" i="25"/>
  <c r="J136" i="25"/>
  <c r="J132" i="25"/>
  <c r="J128" i="25"/>
  <c r="J124" i="25"/>
  <c r="J120" i="25"/>
  <c r="J116" i="25"/>
  <c r="J112" i="25"/>
  <c r="J199" i="25"/>
  <c r="J183" i="25"/>
  <c r="J171" i="25"/>
  <c r="J163" i="25"/>
  <c r="J151" i="25"/>
  <c r="J143" i="25"/>
  <c r="J131" i="25"/>
  <c r="J123" i="25"/>
  <c r="J115" i="25"/>
  <c r="B14" i="2"/>
  <c r="H110" i="25"/>
  <c r="AH110" i="25" s="1"/>
  <c r="H5" i="25"/>
  <c r="AH5" i="25" s="1"/>
  <c r="H216" i="25"/>
  <c r="AH216" i="25" s="1"/>
  <c r="L105" i="25"/>
  <c r="L101" i="25"/>
  <c r="L97" i="25"/>
  <c r="L93" i="25"/>
  <c r="N104" i="25"/>
  <c r="N96" i="25"/>
  <c r="N93" i="25"/>
  <c r="N83" i="25"/>
  <c r="N75" i="25"/>
  <c r="N67" i="25"/>
  <c r="N59" i="25"/>
  <c r="N51" i="25"/>
  <c r="N43" i="25"/>
  <c r="L37" i="25"/>
  <c r="N31" i="25"/>
  <c r="N23" i="25"/>
  <c r="N15" i="25"/>
  <c r="L84" i="25"/>
  <c r="L64" i="25"/>
  <c r="L48" i="25"/>
  <c r="L28" i="25"/>
  <c r="L12" i="25"/>
  <c r="L8" i="25"/>
  <c r="N99" i="25"/>
  <c r="N86" i="25"/>
  <c r="N78" i="25"/>
  <c r="N70" i="25"/>
  <c r="N50" i="25"/>
  <c r="N38" i="25"/>
  <c r="N34" i="25"/>
  <c r="N18" i="25"/>
  <c r="N95" i="25"/>
  <c r="L83" i="25"/>
  <c r="L75" i="25"/>
  <c r="L67" i="25"/>
  <c r="L104" i="25"/>
  <c r="L100" i="25"/>
  <c r="L96" i="25"/>
  <c r="L92" i="25"/>
  <c r="N102" i="25"/>
  <c r="N94" i="25"/>
  <c r="L90" i="25"/>
  <c r="L82" i="25"/>
  <c r="L74" i="25"/>
  <c r="L66" i="25"/>
  <c r="L58" i="25"/>
  <c r="L50" i="25"/>
  <c r="L42" i="25"/>
  <c r="L36" i="25"/>
  <c r="L30" i="25"/>
  <c r="L22" i="25"/>
  <c r="L14" i="25"/>
  <c r="N81" i="25"/>
  <c r="L60" i="25"/>
  <c r="N45" i="25"/>
  <c r="N21" i="25"/>
  <c r="L11" i="25"/>
  <c r="L7" i="25"/>
  <c r="N91" i="25"/>
  <c r="L102" i="25"/>
  <c r="L98" i="25"/>
  <c r="L94" i="25"/>
  <c r="N98" i="25"/>
  <c r="N101" i="25"/>
  <c r="L86" i="25"/>
  <c r="L78" i="25"/>
  <c r="L70" i="25"/>
  <c r="L62" i="25"/>
  <c r="L54" i="25"/>
  <c r="L46" i="25"/>
  <c r="L38" i="25"/>
  <c r="L34" i="25"/>
  <c r="L26" i="25"/>
  <c r="L18" i="25"/>
  <c r="N89" i="25"/>
  <c r="N69" i="25"/>
  <c r="L52" i="25"/>
  <c r="N41" i="25"/>
  <c r="N13" i="25"/>
  <c r="L9" i="25"/>
  <c r="L5" i="25"/>
  <c r="L89" i="25"/>
  <c r="L99" i="25"/>
  <c r="N71" i="25"/>
  <c r="N39" i="25"/>
  <c r="N97" i="25"/>
  <c r="L16" i="25"/>
  <c r="L85" i="25"/>
  <c r="N74" i="25"/>
  <c r="L53" i="25"/>
  <c r="N37" i="25"/>
  <c r="N26" i="25"/>
  <c r="L87" i="25"/>
  <c r="N76" i="25"/>
  <c r="N64" i="25"/>
  <c r="N56" i="25"/>
  <c r="N48" i="25"/>
  <c r="N40" i="25"/>
  <c r="N28" i="25"/>
  <c r="N20" i="25"/>
  <c r="N12" i="25"/>
  <c r="N8" i="25"/>
  <c r="N105" i="25"/>
  <c r="N77" i="25"/>
  <c r="N65" i="25"/>
  <c r="N49" i="25"/>
  <c r="N29" i="25"/>
  <c r="N17" i="25"/>
  <c r="L61" i="25"/>
  <c r="L41" i="25"/>
  <c r="L21" i="25"/>
  <c r="N11" i="25"/>
  <c r="L88" i="25"/>
  <c r="N61" i="25"/>
  <c r="N25" i="25"/>
  <c r="N66" i="25"/>
  <c r="L57" i="25"/>
  <c r="L17" i="25"/>
  <c r="L91" i="25"/>
  <c r="N100" i="25"/>
  <c r="N27" i="25"/>
  <c r="N53" i="25"/>
  <c r="L81" i="25"/>
  <c r="N35" i="25"/>
  <c r="N14" i="25"/>
  <c r="N80" i="25"/>
  <c r="N60" i="25"/>
  <c r="N44" i="25"/>
  <c r="N24" i="25"/>
  <c r="N10" i="25"/>
  <c r="N85" i="25"/>
  <c r="N33" i="25"/>
  <c r="L65" i="25"/>
  <c r="L29" i="25"/>
  <c r="L95" i="25"/>
  <c r="N63" i="25"/>
  <c r="L35" i="25"/>
  <c r="L72" i="25"/>
  <c r="L10" i="25"/>
  <c r="N82" i="25"/>
  <c r="L73" i="25"/>
  <c r="N46" i="25"/>
  <c r="N36" i="25"/>
  <c r="N22" i="25"/>
  <c r="N84" i="25"/>
  <c r="N72" i="25"/>
  <c r="L63" i="25"/>
  <c r="L55" i="25"/>
  <c r="L47" i="25"/>
  <c r="L39" i="25"/>
  <c r="L27" i="25"/>
  <c r="L19" i="25"/>
  <c r="N7" i="25"/>
  <c r="T7" i="25" s="1"/>
  <c r="L76" i="25"/>
  <c r="L40" i="25"/>
  <c r="L33" i="25"/>
  <c r="N87" i="25"/>
  <c r="L6" i="25"/>
  <c r="L45" i="25"/>
  <c r="N103" i="25"/>
  <c r="N52" i="25"/>
  <c r="N16" i="25"/>
  <c r="N73" i="25"/>
  <c r="L24" i="25"/>
  <c r="L13" i="25"/>
  <c r="L103" i="25"/>
  <c r="N92" i="25"/>
  <c r="N79" i="25"/>
  <c r="N47" i="25"/>
  <c r="N19" i="25"/>
  <c r="L44" i="25"/>
  <c r="N90" i="25"/>
  <c r="L77" i="25"/>
  <c r="N58" i="25"/>
  <c r="N42" i="25"/>
  <c r="N30" i="25"/>
  <c r="N88" i="25"/>
  <c r="L79" i="25"/>
  <c r="N68" i="25"/>
  <c r="L59" i="25"/>
  <c r="L51" i="25"/>
  <c r="L43" i="25"/>
  <c r="L31" i="25"/>
  <c r="L23" i="25"/>
  <c r="L15" i="25"/>
  <c r="N9" i="25"/>
  <c r="N5" i="25"/>
  <c r="L80" i="25"/>
  <c r="L68" i="25"/>
  <c r="L56" i="25"/>
  <c r="L32" i="25"/>
  <c r="L20" i="25"/>
  <c r="N62" i="25"/>
  <c r="L49" i="25"/>
  <c r="L25" i="25"/>
  <c r="N55" i="25"/>
  <c r="L69" i="25"/>
  <c r="L71" i="25"/>
  <c r="N32" i="25"/>
  <c r="N6" i="25"/>
  <c r="T6" i="25" s="1"/>
  <c r="N57" i="25"/>
  <c r="N54" i="25"/>
  <c r="J313" i="25"/>
  <c r="J309" i="25"/>
  <c r="J305" i="25"/>
  <c r="J301" i="25"/>
  <c r="J297" i="25"/>
  <c r="J293" i="25"/>
  <c r="J289" i="25"/>
  <c r="J285" i="25"/>
  <c r="J281" i="25"/>
  <c r="J277" i="25"/>
  <c r="J273" i="25"/>
  <c r="J269" i="25"/>
  <c r="J265" i="25"/>
  <c r="J261" i="25"/>
  <c r="J257" i="25"/>
  <c r="J253" i="25"/>
  <c r="J249" i="25"/>
  <c r="J245" i="25"/>
  <c r="J241" i="25"/>
  <c r="J237" i="25"/>
  <c r="J233" i="25"/>
  <c r="J229" i="25"/>
  <c r="J225" i="25"/>
  <c r="J221" i="25"/>
  <c r="J217" i="25"/>
  <c r="J316" i="25"/>
  <c r="J312" i="25"/>
  <c r="J308" i="25"/>
  <c r="J304" i="25"/>
  <c r="J300" i="25"/>
  <c r="J296" i="25"/>
  <c r="J292" i="25"/>
  <c r="J288" i="25"/>
  <c r="J284" i="25"/>
  <c r="J280" i="25"/>
  <c r="J276" i="25"/>
  <c r="J272" i="25"/>
  <c r="J268" i="25"/>
  <c r="J264" i="25"/>
  <c r="J260" i="25"/>
  <c r="J256" i="25"/>
  <c r="J252" i="25"/>
  <c r="J248" i="25"/>
  <c r="J244" i="25"/>
  <c r="J240" i="25"/>
  <c r="J236" i="25"/>
  <c r="J232" i="25"/>
  <c r="J228" i="25"/>
  <c r="J224" i="25"/>
  <c r="J220" i="25"/>
  <c r="J315" i="25"/>
  <c r="J311" i="25"/>
  <c r="J307" i="25"/>
  <c r="J303" i="25"/>
  <c r="J299" i="25"/>
  <c r="J295" i="25"/>
  <c r="J291" i="25"/>
  <c r="J287" i="25"/>
  <c r="J283" i="25"/>
  <c r="J279" i="25"/>
  <c r="J275" i="25"/>
  <c r="J271" i="25"/>
  <c r="J267" i="25"/>
  <c r="J263" i="25"/>
  <c r="J259" i="25"/>
  <c r="J255" i="25"/>
  <c r="J251" i="25"/>
  <c r="J247" i="25"/>
  <c r="J243" i="25"/>
  <c r="J239" i="25"/>
  <c r="J235" i="25"/>
  <c r="J231" i="25"/>
  <c r="J227" i="25"/>
  <c r="J223" i="25"/>
  <c r="J219" i="25"/>
  <c r="J216" i="25"/>
  <c r="J314" i="25"/>
  <c r="J310" i="25"/>
  <c r="J306" i="25"/>
  <c r="J302" i="25"/>
  <c r="J298" i="25"/>
  <c r="J294" i="25"/>
  <c r="J290" i="25"/>
  <c r="J286" i="25"/>
  <c r="J282" i="25"/>
  <c r="J266" i="25"/>
  <c r="J250" i="25"/>
  <c r="J234" i="25"/>
  <c r="J218" i="25"/>
  <c r="J278" i="25"/>
  <c r="J262" i="25"/>
  <c r="J246" i="25"/>
  <c r="J230" i="25"/>
  <c r="J274" i="25"/>
  <c r="J258" i="25"/>
  <c r="J242" i="25"/>
  <c r="J226" i="25"/>
  <c r="J270" i="25"/>
  <c r="J254" i="25"/>
  <c r="J238" i="25"/>
  <c r="J222" i="25"/>
  <c r="B63" i="2"/>
  <c r="B62" i="2"/>
  <c r="B161" i="2"/>
  <c r="E26" i="1" s="1"/>
  <c r="BK105" i="24"/>
  <c r="BK65" i="24"/>
  <c r="BK25" i="24"/>
  <c r="BK100" i="24"/>
  <c r="BK84" i="24"/>
  <c r="BK68" i="24"/>
  <c r="BK52" i="24"/>
  <c r="BK36" i="24"/>
  <c r="BK20" i="24"/>
  <c r="BK97" i="24"/>
  <c r="BK37" i="24"/>
  <c r="BK95" i="24"/>
  <c r="BK79" i="24"/>
  <c r="BK63" i="24"/>
  <c r="BK47" i="24"/>
  <c r="BK31" i="24"/>
  <c r="BK15" i="24"/>
  <c r="BK89" i="24"/>
  <c r="BK45" i="24"/>
  <c r="BK98" i="24"/>
  <c r="BK82" i="24"/>
  <c r="BK66" i="24"/>
  <c r="BK50" i="24"/>
  <c r="BK34" i="24"/>
  <c r="BK18" i="24"/>
  <c r="BK78" i="24"/>
  <c r="BK46" i="24"/>
  <c r="BK30" i="24"/>
  <c r="BK83" i="24"/>
  <c r="BK19" i="24"/>
  <c r="BK102" i="24"/>
  <c r="BK70" i="24"/>
  <c r="BK22" i="24"/>
  <c r="BK93" i="24"/>
  <c r="BK49" i="24"/>
  <c r="BK13" i="24"/>
  <c r="BK96" i="24"/>
  <c r="BK80" i="24"/>
  <c r="BK64" i="24"/>
  <c r="BK48" i="24"/>
  <c r="BK32" i="24"/>
  <c r="BK16" i="24"/>
  <c r="BK81" i="24"/>
  <c r="BK21" i="24"/>
  <c r="BK91" i="24"/>
  <c r="BK75" i="24"/>
  <c r="BK59" i="24"/>
  <c r="BK43" i="24"/>
  <c r="BK27" i="24"/>
  <c r="BK11" i="24"/>
  <c r="BK77" i="24"/>
  <c r="BK33" i="24"/>
  <c r="BK94" i="24"/>
  <c r="BK62" i="24"/>
  <c r="BK14" i="24"/>
  <c r="BK51" i="24"/>
  <c r="BK53" i="24"/>
  <c r="BK54" i="24"/>
  <c r="BK85" i="24"/>
  <c r="BK41" i="24"/>
  <c r="BK9" i="24"/>
  <c r="BK92" i="24"/>
  <c r="BK76" i="24"/>
  <c r="BK60" i="24"/>
  <c r="BK44" i="24"/>
  <c r="BK28" i="24"/>
  <c r="BK12" i="24"/>
  <c r="BK69" i="24"/>
  <c r="BK103" i="24"/>
  <c r="BK87" i="24"/>
  <c r="BK71" i="24"/>
  <c r="BK55" i="24"/>
  <c r="BK39" i="24"/>
  <c r="BK23" i="24"/>
  <c r="BK7" i="24"/>
  <c r="BK61" i="24"/>
  <c r="BK17" i="24"/>
  <c r="BK90" i="24"/>
  <c r="BK74" i="24"/>
  <c r="BK58" i="24"/>
  <c r="BK42" i="24"/>
  <c r="BK26" i="24"/>
  <c r="BK10" i="24"/>
  <c r="BK73" i="24"/>
  <c r="BK29" i="24"/>
  <c r="BK104" i="24"/>
  <c r="BK88" i="24"/>
  <c r="BK72" i="24"/>
  <c r="BK56" i="24"/>
  <c r="BK40" i="24"/>
  <c r="BK24" i="24"/>
  <c r="BK8" i="24"/>
  <c r="BK57" i="24"/>
  <c r="BK99" i="24"/>
  <c r="BK67" i="24"/>
  <c r="BK35" i="24"/>
  <c r="BK101" i="24"/>
  <c r="BK86" i="24"/>
  <c r="BK38" i="24"/>
  <c r="BK6" i="24"/>
  <c r="B182" i="2"/>
  <c r="BK5" i="24"/>
  <c r="B178" i="2"/>
  <c r="B30" i="2"/>
  <c r="AW2" i="25" s="1"/>
  <c r="B125" i="2"/>
  <c r="I113" i="24"/>
  <c r="I117" i="24"/>
  <c r="I121" i="24"/>
  <c r="I125" i="24"/>
  <c r="I129" i="24"/>
  <c r="I133" i="24"/>
  <c r="I137" i="24"/>
  <c r="I141" i="24"/>
  <c r="I145" i="24"/>
  <c r="I149" i="24"/>
  <c r="I153" i="24"/>
  <c r="I157" i="24"/>
  <c r="I161" i="24"/>
  <c r="I165" i="24"/>
  <c r="I169" i="24"/>
  <c r="I173" i="24"/>
  <c r="I177" i="24"/>
  <c r="I181" i="24"/>
  <c r="I185" i="24"/>
  <c r="I189" i="24"/>
  <c r="I193" i="24"/>
  <c r="I197" i="24"/>
  <c r="I201" i="24"/>
  <c r="I205" i="24"/>
  <c r="I209" i="24"/>
  <c r="I114" i="24"/>
  <c r="I118" i="24"/>
  <c r="I122" i="24"/>
  <c r="I126" i="24"/>
  <c r="I130" i="24"/>
  <c r="I134" i="24"/>
  <c r="I138" i="24"/>
  <c r="I116" i="24"/>
  <c r="I124" i="24"/>
  <c r="I132" i="24"/>
  <c r="I140" i="24"/>
  <c r="I146" i="24"/>
  <c r="I151" i="24"/>
  <c r="I156" i="24"/>
  <c r="I162" i="24"/>
  <c r="I167" i="24"/>
  <c r="I172" i="24"/>
  <c r="I178" i="24"/>
  <c r="I183" i="24"/>
  <c r="I188" i="24"/>
  <c r="I194" i="24"/>
  <c r="I199" i="24"/>
  <c r="I204" i="24"/>
  <c r="I210" i="24"/>
  <c r="I111" i="24"/>
  <c r="I119" i="24"/>
  <c r="I127" i="24"/>
  <c r="I135" i="24"/>
  <c r="I142" i="24"/>
  <c r="I147" i="24"/>
  <c r="I152" i="24"/>
  <c r="I158" i="24"/>
  <c r="I163" i="24"/>
  <c r="I168" i="24"/>
  <c r="I174" i="24"/>
  <c r="I179" i="24"/>
  <c r="I184" i="24"/>
  <c r="I190" i="24"/>
  <c r="I195" i="24"/>
  <c r="I200" i="24"/>
  <c r="I206" i="24"/>
  <c r="I110" i="24"/>
  <c r="I112" i="24"/>
  <c r="I120" i="24"/>
  <c r="I128" i="24"/>
  <c r="I136" i="24"/>
  <c r="I143" i="24"/>
  <c r="I148" i="24"/>
  <c r="I154" i="24"/>
  <c r="I159" i="24"/>
  <c r="I164" i="24"/>
  <c r="I170" i="24"/>
  <c r="I175" i="24"/>
  <c r="I180" i="24"/>
  <c r="I186" i="24"/>
  <c r="I191" i="24"/>
  <c r="I196" i="24"/>
  <c r="I202" i="24"/>
  <c r="I207" i="24"/>
  <c r="I115" i="24"/>
  <c r="I123" i="24"/>
  <c r="I131" i="24"/>
  <c r="I139" i="24"/>
  <c r="I144" i="24"/>
  <c r="I150" i="24"/>
  <c r="I155" i="24"/>
  <c r="I160" i="24"/>
  <c r="I166" i="24"/>
  <c r="I171" i="24"/>
  <c r="I176" i="24"/>
  <c r="I182" i="24"/>
  <c r="I187" i="24"/>
  <c r="I192" i="24"/>
  <c r="I198" i="24"/>
  <c r="I203" i="24"/>
  <c r="I208" i="24"/>
  <c r="H216" i="24"/>
  <c r="H110" i="24"/>
  <c r="I217" i="24"/>
  <c r="I221" i="24"/>
  <c r="I225" i="24"/>
  <c r="I229" i="24"/>
  <c r="I233" i="24"/>
  <c r="I237" i="24"/>
  <c r="I241" i="24"/>
  <c r="I245" i="24"/>
  <c r="I249" i="24"/>
  <c r="I253" i="24"/>
  <c r="I257" i="24"/>
  <c r="I261" i="24"/>
  <c r="I265" i="24"/>
  <c r="I269" i="24"/>
  <c r="I273" i="24"/>
  <c r="I277" i="24"/>
  <c r="I281" i="24"/>
  <c r="I285" i="24"/>
  <c r="I289" i="24"/>
  <c r="I293" i="24"/>
  <c r="I297" i="24"/>
  <c r="I301" i="24"/>
  <c r="I305" i="24"/>
  <c r="I309" i="24"/>
  <c r="I313" i="24"/>
  <c r="I216" i="24"/>
  <c r="I219" i="24"/>
  <c r="I235" i="24"/>
  <c r="I243" i="24"/>
  <c r="I251" i="24"/>
  <c r="I259" i="24"/>
  <c r="I267" i="24"/>
  <c r="I275" i="24"/>
  <c r="I283" i="24"/>
  <c r="I291" i="24"/>
  <c r="I299" i="24"/>
  <c r="I303" i="24"/>
  <c r="I311" i="24"/>
  <c r="I224" i="24"/>
  <c r="I232" i="24"/>
  <c r="I240" i="24"/>
  <c r="I248" i="24"/>
  <c r="I256" i="24"/>
  <c r="I264" i="24"/>
  <c r="I272" i="24"/>
  <c r="I280" i="24"/>
  <c r="I288" i="24"/>
  <c r="I296" i="24"/>
  <c r="I300" i="24"/>
  <c r="I308" i="24"/>
  <c r="I218" i="24"/>
  <c r="I222" i="24"/>
  <c r="I226" i="24"/>
  <c r="I230" i="24"/>
  <c r="I234" i="24"/>
  <c r="I238" i="24"/>
  <c r="I242" i="24"/>
  <c r="I246" i="24"/>
  <c r="I250" i="24"/>
  <c r="I254" i="24"/>
  <c r="I258" i="24"/>
  <c r="I262" i="24"/>
  <c r="I266" i="24"/>
  <c r="I270" i="24"/>
  <c r="I274" i="24"/>
  <c r="I278" i="24"/>
  <c r="I282" i="24"/>
  <c r="I286" i="24"/>
  <c r="I290" i="24"/>
  <c r="I294" i="24"/>
  <c r="I298" i="24"/>
  <c r="I302" i="24"/>
  <c r="I306" i="24"/>
  <c r="I310" i="24"/>
  <c r="I314" i="24"/>
  <c r="I223" i="24"/>
  <c r="I227" i="24"/>
  <c r="I231" i="24"/>
  <c r="I239" i="24"/>
  <c r="I247" i="24"/>
  <c r="I255" i="24"/>
  <c r="I263" i="24"/>
  <c r="I271" i="24"/>
  <c r="I279" i="24"/>
  <c r="I287" i="24"/>
  <c r="I295" i="24"/>
  <c r="I307" i="24"/>
  <c r="I315" i="24"/>
  <c r="I220" i="24"/>
  <c r="I228" i="24"/>
  <c r="I236" i="24"/>
  <c r="I244" i="24"/>
  <c r="I252" i="24"/>
  <c r="I260" i="24"/>
  <c r="I268" i="24"/>
  <c r="I276" i="24"/>
  <c r="I284" i="24"/>
  <c r="I292" i="24"/>
  <c r="I304" i="24"/>
  <c r="I312" i="24"/>
  <c r="I316" i="24"/>
  <c r="E15" i="23"/>
  <c r="R15" i="23" s="1"/>
  <c r="E23" i="23"/>
  <c r="R23" i="23" s="1"/>
  <c r="E31" i="23"/>
  <c r="R31" i="23" s="1"/>
  <c r="E39" i="23"/>
  <c r="R39" i="23" s="1"/>
  <c r="E47" i="23"/>
  <c r="R47" i="23" s="1"/>
  <c r="E55" i="23"/>
  <c r="R55" i="23" s="1"/>
  <c r="E63" i="23"/>
  <c r="R63" i="23" s="1"/>
  <c r="E71" i="23"/>
  <c r="R71" i="23" s="1"/>
  <c r="E79" i="23"/>
  <c r="R79" i="23" s="1"/>
  <c r="E87" i="23"/>
  <c r="R87" i="23" s="1"/>
  <c r="E95" i="23"/>
  <c r="R95" i="23" s="1"/>
  <c r="E103" i="23"/>
  <c r="R103" i="23" s="1"/>
  <c r="E20" i="23"/>
  <c r="R20" i="23" s="1"/>
  <c r="E44" i="23"/>
  <c r="R44" i="23" s="1"/>
  <c r="E68" i="23"/>
  <c r="R68" i="23" s="1"/>
  <c r="E84" i="23"/>
  <c r="R84" i="23" s="1"/>
  <c r="E7" i="23"/>
  <c r="R7" i="23" s="1"/>
  <c r="E16" i="23"/>
  <c r="R16" i="23" s="1"/>
  <c r="E24" i="23"/>
  <c r="R24" i="23" s="1"/>
  <c r="E32" i="23"/>
  <c r="R32" i="23" s="1"/>
  <c r="E40" i="23"/>
  <c r="R40" i="23" s="1"/>
  <c r="E48" i="23"/>
  <c r="R48" i="23" s="1"/>
  <c r="E56" i="23"/>
  <c r="R56" i="23" s="1"/>
  <c r="E64" i="23"/>
  <c r="R64" i="23" s="1"/>
  <c r="E72" i="23"/>
  <c r="R72" i="23" s="1"/>
  <c r="E80" i="23"/>
  <c r="R80" i="23" s="1"/>
  <c r="E88" i="23"/>
  <c r="R88" i="23" s="1"/>
  <c r="E96" i="23"/>
  <c r="R96" i="23" s="1"/>
  <c r="E104" i="23"/>
  <c r="R104" i="23" s="1"/>
  <c r="E28" i="23"/>
  <c r="R28" i="23" s="1"/>
  <c r="E60" i="23"/>
  <c r="R60" i="23" s="1"/>
  <c r="E92" i="23"/>
  <c r="R92" i="23" s="1"/>
  <c r="E11" i="23"/>
  <c r="R11" i="23" s="1"/>
  <c r="E19" i="23"/>
  <c r="R19" i="23" s="1"/>
  <c r="E27" i="23"/>
  <c r="R27" i="23" s="1"/>
  <c r="E35" i="23"/>
  <c r="R35" i="23" s="1"/>
  <c r="E43" i="23"/>
  <c r="R43" i="23" s="1"/>
  <c r="E51" i="23"/>
  <c r="R51" i="23" s="1"/>
  <c r="E59" i="23"/>
  <c r="R59" i="23" s="1"/>
  <c r="E67" i="23"/>
  <c r="R67" i="23" s="1"/>
  <c r="E75" i="23"/>
  <c r="R75" i="23" s="1"/>
  <c r="E83" i="23"/>
  <c r="R83" i="23" s="1"/>
  <c r="E91" i="23"/>
  <c r="R91" i="23" s="1"/>
  <c r="E99" i="23"/>
  <c r="R99" i="23" s="1"/>
  <c r="E6" i="23"/>
  <c r="R6" i="23" s="1"/>
  <c r="E12" i="23"/>
  <c r="R12" i="23" s="1"/>
  <c r="E36" i="23"/>
  <c r="R36" i="23" s="1"/>
  <c r="E52" i="23"/>
  <c r="R52" i="23" s="1"/>
  <c r="E76" i="23"/>
  <c r="R76" i="23" s="1"/>
  <c r="E100" i="23"/>
  <c r="R100" i="23" s="1"/>
  <c r="K16" i="24"/>
  <c r="M58" i="24"/>
  <c r="N58" i="24" s="1"/>
  <c r="M42" i="24"/>
  <c r="N42" i="24" s="1"/>
  <c r="M26" i="24"/>
  <c r="N26" i="24" s="1"/>
  <c r="K10" i="24"/>
  <c r="K45" i="24"/>
  <c r="K29" i="24"/>
  <c r="M7" i="24"/>
  <c r="N7" i="24" s="1"/>
  <c r="M54" i="24"/>
  <c r="N54" i="24" s="1"/>
  <c r="M38" i="24"/>
  <c r="N38" i="24" s="1"/>
  <c r="K22" i="24"/>
  <c r="M6" i="24"/>
  <c r="N6" i="24" s="1"/>
  <c r="K57" i="24"/>
  <c r="K41" i="24"/>
  <c r="K25" i="24"/>
  <c r="K20" i="24"/>
  <c r="M34" i="24"/>
  <c r="N34" i="24" s="1"/>
  <c r="K12" i="24"/>
  <c r="K53" i="24"/>
  <c r="E94" i="23"/>
  <c r="R94" i="23" s="1"/>
  <c r="E78" i="23"/>
  <c r="R78" i="23" s="1"/>
  <c r="E62" i="23"/>
  <c r="R62" i="23" s="1"/>
  <c r="E46" i="23"/>
  <c r="R46" i="23" s="1"/>
  <c r="E30" i="23"/>
  <c r="R30" i="23" s="1"/>
  <c r="E14" i="23"/>
  <c r="R14" i="23" s="1"/>
  <c r="M103" i="24"/>
  <c r="N103" i="24" s="1"/>
  <c r="K98" i="24"/>
  <c r="M87" i="24"/>
  <c r="N87" i="24" s="1"/>
  <c r="K82" i="24"/>
  <c r="M96" i="24"/>
  <c r="N96" i="24" s="1"/>
  <c r="K91" i="24"/>
  <c r="K81" i="24"/>
  <c r="K101" i="24"/>
  <c r="K93" i="24"/>
  <c r="K85" i="24"/>
  <c r="M94" i="24"/>
  <c r="N94" i="24" s="1"/>
  <c r="M85" i="24"/>
  <c r="N85" i="24" s="1"/>
  <c r="K75" i="24"/>
  <c r="K70" i="24"/>
  <c r="M80" i="24"/>
  <c r="N80" i="24" s="1"/>
  <c r="K67" i="24"/>
  <c r="M89" i="24"/>
  <c r="N89" i="24" s="1"/>
  <c r="K69" i="24"/>
  <c r="K61" i="24"/>
  <c r="M55" i="24"/>
  <c r="N55" i="24" s="1"/>
  <c r="K50" i="24"/>
  <c r="M5" i="24"/>
  <c r="N5" i="24" s="1"/>
  <c r="Q5" i="24" s="1"/>
  <c r="M30" i="24"/>
  <c r="N30" i="24" s="1"/>
  <c r="K49" i="24"/>
  <c r="E106" i="23"/>
  <c r="R106" i="23" s="1"/>
  <c r="E90" i="23"/>
  <c r="R90" i="23" s="1"/>
  <c r="E74" i="23"/>
  <c r="R74" i="23" s="1"/>
  <c r="E58" i="23"/>
  <c r="R58" i="23" s="1"/>
  <c r="E42" i="23"/>
  <c r="R42" i="23" s="1"/>
  <c r="E26" i="23"/>
  <c r="R26" i="23" s="1"/>
  <c r="E9" i="23"/>
  <c r="R9" i="23" s="1"/>
  <c r="K102" i="24"/>
  <c r="M91" i="24"/>
  <c r="N91" i="24" s="1"/>
  <c r="K86" i="24"/>
  <c r="M100" i="24"/>
  <c r="N100" i="24" s="1"/>
  <c r="K95" i="24"/>
  <c r="M84" i="24"/>
  <c r="N84" i="24" s="1"/>
  <c r="M74" i="24"/>
  <c r="N74" i="24" s="1"/>
  <c r="K100" i="24"/>
  <c r="K92" i="24"/>
  <c r="K84" i="24"/>
  <c r="M75" i="24"/>
  <c r="N75" i="24" s="1"/>
  <c r="M102" i="24"/>
  <c r="N102" i="24" s="1"/>
  <c r="M93" i="24"/>
  <c r="N93" i="24" s="1"/>
  <c r="K80" i="24"/>
  <c r="M73" i="24"/>
  <c r="N73" i="24" s="1"/>
  <c r="M63" i="24"/>
  <c r="N63" i="24" s="1"/>
  <c r="M77" i="24"/>
  <c r="N77" i="24" s="1"/>
  <c r="K71" i="24"/>
  <c r="M105" i="24"/>
  <c r="N105" i="24" s="1"/>
  <c r="K68" i="24"/>
  <c r="M59" i="24"/>
  <c r="N59" i="24" s="1"/>
  <c r="K54" i="24"/>
  <c r="M50" i="24"/>
  <c r="N50" i="24" s="1"/>
  <c r="E102" i="23"/>
  <c r="R102" i="23" s="1"/>
  <c r="E70" i="23"/>
  <c r="R70" i="23" s="1"/>
  <c r="E38" i="23"/>
  <c r="R38" i="23" s="1"/>
  <c r="K8" i="24"/>
  <c r="M95" i="24"/>
  <c r="N95" i="24" s="1"/>
  <c r="K99" i="24"/>
  <c r="M88" i="24"/>
  <c r="N88" i="24" s="1"/>
  <c r="M78" i="24"/>
  <c r="N78" i="24" s="1"/>
  <c r="K97" i="24"/>
  <c r="M79" i="24"/>
  <c r="N79" i="24" s="1"/>
  <c r="M101" i="24"/>
  <c r="N101" i="24" s="1"/>
  <c r="K79" i="24"/>
  <c r="M67" i="24"/>
  <c r="N67" i="24" s="1"/>
  <c r="K58" i="24"/>
  <c r="M47" i="24"/>
  <c r="N47" i="24" s="1"/>
  <c r="M35" i="24"/>
  <c r="N35" i="24" s="1"/>
  <c r="K30" i="24"/>
  <c r="K72" i="24"/>
  <c r="M57" i="24"/>
  <c r="N57" i="24" s="1"/>
  <c r="K52" i="24"/>
  <c r="M41" i="24"/>
  <c r="N41" i="24" s="1"/>
  <c r="K36" i="24"/>
  <c r="M25" i="24"/>
  <c r="N25" i="24" s="1"/>
  <c r="K21" i="24"/>
  <c r="M10" i="24"/>
  <c r="N10" i="24" s="1"/>
  <c r="K23" i="24"/>
  <c r="M12" i="24"/>
  <c r="N12" i="24" s="1"/>
  <c r="K7" i="24"/>
  <c r="E101" i="23"/>
  <c r="R101" i="23" s="1"/>
  <c r="E85" i="23"/>
  <c r="R85" i="23" s="1"/>
  <c r="E69" i="23"/>
  <c r="R69" i="23" s="1"/>
  <c r="E53" i="23"/>
  <c r="R53" i="23" s="1"/>
  <c r="E37" i="23"/>
  <c r="R37" i="23" s="1"/>
  <c r="E21" i="23"/>
  <c r="R21" i="23" s="1"/>
  <c r="K5" i="24"/>
  <c r="M28" i="24"/>
  <c r="N28" i="24" s="1"/>
  <c r="M36" i="24"/>
  <c r="N36" i="24" s="1"/>
  <c r="M44" i="24"/>
  <c r="N44" i="24" s="1"/>
  <c r="M52" i="24"/>
  <c r="N52" i="24" s="1"/>
  <c r="M60" i="24"/>
  <c r="N60" i="24" s="1"/>
  <c r="K18" i="24"/>
  <c r="E86" i="23"/>
  <c r="R86" i="23" s="1"/>
  <c r="E22" i="23"/>
  <c r="R22" i="23" s="1"/>
  <c r="M104" i="24"/>
  <c r="N104" i="24" s="1"/>
  <c r="K83" i="24"/>
  <c r="K105" i="24"/>
  <c r="K74" i="24"/>
  <c r="M72" i="24"/>
  <c r="N72" i="24" s="1"/>
  <c r="M64" i="24"/>
  <c r="N64" i="24" s="1"/>
  <c r="K65" i="24"/>
  <c r="M43" i="24"/>
  <c r="N43" i="24" s="1"/>
  <c r="K60" i="24"/>
  <c r="M49" i="24"/>
  <c r="N49" i="24" s="1"/>
  <c r="K28" i="24"/>
  <c r="M62" i="24"/>
  <c r="N62" i="24" s="1"/>
  <c r="K13" i="24"/>
  <c r="M20" i="24"/>
  <c r="N20" i="24" s="1"/>
  <c r="E93" i="23"/>
  <c r="R93" i="23" s="1"/>
  <c r="E77" i="23"/>
  <c r="R77" i="23" s="1"/>
  <c r="E45" i="23"/>
  <c r="R45" i="23" s="1"/>
  <c r="E13" i="23"/>
  <c r="R13" i="23" s="1"/>
  <c r="M24" i="24"/>
  <c r="N24" i="24" s="1"/>
  <c r="M40" i="24"/>
  <c r="N40" i="24" s="1"/>
  <c r="M56" i="24"/>
  <c r="N56" i="24" s="1"/>
  <c r="K14" i="24"/>
  <c r="E82" i="23"/>
  <c r="R82" i="23" s="1"/>
  <c r="E50" i="23"/>
  <c r="R50" i="23" s="1"/>
  <c r="M92" i="24"/>
  <c r="N92" i="24" s="1"/>
  <c r="K104" i="24"/>
  <c r="M86" i="24"/>
  <c r="N86" i="24" s="1"/>
  <c r="K64" i="24"/>
  <c r="K42" i="24"/>
  <c r="K26" i="24"/>
  <c r="M53" i="24"/>
  <c r="N53" i="24" s="1"/>
  <c r="M37" i="24"/>
  <c r="N37" i="24" s="1"/>
  <c r="K17" i="24"/>
  <c r="M66" i="24"/>
  <c r="N66" i="24" s="1"/>
  <c r="M8" i="24"/>
  <c r="N8" i="24" s="1"/>
  <c r="E89" i="23"/>
  <c r="R89" i="23" s="1"/>
  <c r="E57" i="23"/>
  <c r="R57" i="23" s="1"/>
  <c r="E25" i="23"/>
  <c r="R25" i="23" s="1"/>
  <c r="M9" i="24"/>
  <c r="N9" i="24" s="1"/>
  <c r="M17" i="24"/>
  <c r="N17" i="24" s="1"/>
  <c r="K27" i="24"/>
  <c r="K43" i="24"/>
  <c r="M69" i="24"/>
  <c r="N69" i="24" s="1"/>
  <c r="M46" i="24"/>
  <c r="N46" i="24" s="1"/>
  <c r="E98" i="23"/>
  <c r="R98" i="23" s="1"/>
  <c r="E66" i="23"/>
  <c r="R66" i="23" s="1"/>
  <c r="E34" i="23"/>
  <c r="R34" i="23" s="1"/>
  <c r="K94" i="24"/>
  <c r="M83" i="24"/>
  <c r="N83" i="24" s="1"/>
  <c r="K87" i="24"/>
  <c r="K77" i="24"/>
  <c r="K96" i="24"/>
  <c r="K78" i="24"/>
  <c r="K76" i="24"/>
  <c r="K66" i="24"/>
  <c r="M81" i="24"/>
  <c r="N81" i="24" s="1"/>
  <c r="M68" i="24"/>
  <c r="N68" i="24" s="1"/>
  <c r="M98" i="24"/>
  <c r="N98" i="24" s="1"/>
  <c r="K73" i="24"/>
  <c r="K46" i="24"/>
  <c r="M39" i="24"/>
  <c r="N39" i="24" s="1"/>
  <c r="K34" i="24"/>
  <c r="M97" i="24"/>
  <c r="N97" i="24" s="1"/>
  <c r="K56" i="24"/>
  <c r="M45" i="24"/>
  <c r="N45" i="24" s="1"/>
  <c r="K40" i="24"/>
  <c r="M29" i="24"/>
  <c r="N29" i="24" s="1"/>
  <c r="K24" i="24"/>
  <c r="M70" i="24"/>
  <c r="N70" i="24" s="1"/>
  <c r="M14" i="24"/>
  <c r="N14" i="24" s="1"/>
  <c r="K9" i="24"/>
  <c r="M16" i="24"/>
  <c r="N16" i="24" s="1"/>
  <c r="K11" i="24"/>
  <c r="E97" i="23"/>
  <c r="R97" i="23" s="1"/>
  <c r="E81" i="23"/>
  <c r="R81" i="23" s="1"/>
  <c r="E65" i="23"/>
  <c r="R65" i="23" s="1"/>
  <c r="E49" i="23"/>
  <c r="R49" i="23" s="1"/>
  <c r="E33" i="23"/>
  <c r="R33" i="23" s="1"/>
  <c r="E17" i="23"/>
  <c r="R17" i="23" s="1"/>
  <c r="K6" i="24"/>
  <c r="M11" i="24"/>
  <c r="N11" i="24" s="1"/>
  <c r="M15" i="24"/>
  <c r="N15" i="24" s="1"/>
  <c r="M19" i="24"/>
  <c r="N19" i="24" s="1"/>
  <c r="M23" i="24"/>
  <c r="N23" i="24" s="1"/>
  <c r="K31" i="24"/>
  <c r="K39" i="24"/>
  <c r="K47" i="24"/>
  <c r="K55" i="24"/>
  <c r="M61" i="24"/>
  <c r="N61" i="24" s="1"/>
  <c r="K37" i="24"/>
  <c r="E54" i="23"/>
  <c r="R54" i="23" s="1"/>
  <c r="K90" i="24"/>
  <c r="K89" i="24"/>
  <c r="K62" i="24"/>
  <c r="M76" i="24"/>
  <c r="N76" i="24" s="1"/>
  <c r="M82" i="24"/>
  <c r="N82" i="24" s="1"/>
  <c r="K38" i="24"/>
  <c r="M27" i="24"/>
  <c r="N27" i="24" s="1"/>
  <c r="K44" i="24"/>
  <c r="M33" i="24"/>
  <c r="N33" i="24" s="1"/>
  <c r="M18" i="24"/>
  <c r="N18" i="24" s="1"/>
  <c r="K15" i="24"/>
  <c r="E10" i="23"/>
  <c r="R10" i="23" s="1"/>
  <c r="E61" i="23"/>
  <c r="R61" i="23" s="1"/>
  <c r="E29" i="23"/>
  <c r="R29" i="23" s="1"/>
  <c r="M32" i="24"/>
  <c r="N32" i="24" s="1"/>
  <c r="M48" i="24"/>
  <c r="N48" i="24" s="1"/>
  <c r="M65" i="24"/>
  <c r="N65" i="24" s="1"/>
  <c r="K33" i="24"/>
  <c r="E18" i="23"/>
  <c r="R18" i="23" s="1"/>
  <c r="M99" i="24"/>
  <c r="N99" i="24" s="1"/>
  <c r="K103" i="24"/>
  <c r="K88" i="24"/>
  <c r="M71" i="24"/>
  <c r="N71" i="24" s="1"/>
  <c r="K63" i="24"/>
  <c r="M51" i="24"/>
  <c r="N51" i="24" s="1"/>
  <c r="M31" i="24"/>
  <c r="N31" i="24" s="1"/>
  <c r="M90" i="24"/>
  <c r="N90" i="24" s="1"/>
  <c r="K48" i="24"/>
  <c r="K32" i="24"/>
  <c r="M22" i="24"/>
  <c r="N22" i="24" s="1"/>
  <c r="K19" i="24"/>
  <c r="E105" i="23"/>
  <c r="R105" i="23" s="1"/>
  <c r="E73" i="23"/>
  <c r="R73" i="23" s="1"/>
  <c r="E41" i="23"/>
  <c r="R41" i="23" s="1"/>
  <c r="E8" i="23"/>
  <c r="R8" i="23" s="1"/>
  <c r="M13" i="24"/>
  <c r="N13" i="24" s="1"/>
  <c r="M21" i="24"/>
  <c r="N21" i="24" s="1"/>
  <c r="K35" i="24"/>
  <c r="K51" i="24"/>
  <c r="K59" i="24"/>
  <c r="D9" i="23"/>
  <c r="F9" i="23" s="1"/>
  <c r="D13" i="23"/>
  <c r="I13" i="23" s="1"/>
  <c r="D17" i="23"/>
  <c r="I17" i="23" s="1"/>
  <c r="D21" i="23"/>
  <c r="D25" i="23"/>
  <c r="I25" i="23" s="1"/>
  <c r="D29" i="23"/>
  <c r="D33" i="23"/>
  <c r="F33" i="23" s="1"/>
  <c r="D37" i="23"/>
  <c r="D41" i="23"/>
  <c r="F41" i="23" s="1"/>
  <c r="D45" i="23"/>
  <c r="D49" i="23"/>
  <c r="I49" i="23" s="1"/>
  <c r="D10" i="23"/>
  <c r="I10" i="23" s="1"/>
  <c r="D14" i="23"/>
  <c r="I14" i="23" s="1"/>
  <c r="D18" i="23"/>
  <c r="D22" i="23"/>
  <c r="I22" i="23" s="1"/>
  <c r="D26" i="23"/>
  <c r="D30" i="23"/>
  <c r="I30" i="23" s="1"/>
  <c r="D34" i="23"/>
  <c r="D38" i="23"/>
  <c r="F38" i="23" s="1"/>
  <c r="D42" i="23"/>
  <c r="D46" i="23"/>
  <c r="I46" i="23" s="1"/>
  <c r="D50" i="23"/>
  <c r="D54" i="23"/>
  <c r="I54" i="23" s="1"/>
  <c r="D58" i="23"/>
  <c r="D62" i="23"/>
  <c r="F62" i="23" s="1"/>
  <c r="D66" i="23"/>
  <c r="D70" i="23"/>
  <c r="F70" i="23" s="1"/>
  <c r="D74" i="23"/>
  <c r="D78" i="23"/>
  <c r="F78" i="23" s="1"/>
  <c r="D82" i="23"/>
  <c r="D86" i="23"/>
  <c r="F86" i="23" s="1"/>
  <c r="D90" i="23"/>
  <c r="D94" i="23"/>
  <c r="I94" i="23" s="1"/>
  <c r="D98" i="23"/>
  <c r="F98" i="23" s="1"/>
  <c r="D102" i="23"/>
  <c r="I102" i="23" s="1"/>
  <c r="D106" i="23"/>
  <c r="F106" i="23" s="1"/>
  <c r="D16" i="23"/>
  <c r="F16" i="23" s="1"/>
  <c r="D24" i="23"/>
  <c r="D32" i="23"/>
  <c r="I32" i="23" s="1"/>
  <c r="D40" i="23"/>
  <c r="D48" i="23"/>
  <c r="F48" i="23" s="1"/>
  <c r="D55" i="23"/>
  <c r="D60" i="23"/>
  <c r="I60" i="23" s="1"/>
  <c r="D65" i="23"/>
  <c r="I65" i="23" s="1"/>
  <c r="D71" i="23"/>
  <c r="I71" i="23" s="1"/>
  <c r="D76" i="23"/>
  <c r="F76" i="23" s="1"/>
  <c r="D81" i="23"/>
  <c r="I81" i="23" s="1"/>
  <c r="D87" i="23"/>
  <c r="D92" i="23"/>
  <c r="I92" i="23" s="1"/>
  <c r="D97" i="23"/>
  <c r="D103" i="23"/>
  <c r="I103" i="23" s="1"/>
  <c r="D7" i="23"/>
  <c r="F7" i="23" s="1"/>
  <c r="D23" i="23"/>
  <c r="F23" i="23" s="1"/>
  <c r="D39" i="23"/>
  <c r="F39" i="23" s="1"/>
  <c r="D53" i="23"/>
  <c r="I53" i="23" s="1"/>
  <c r="D64" i="23"/>
  <c r="D75" i="23"/>
  <c r="F75" i="23" s="1"/>
  <c r="D85" i="23"/>
  <c r="D96" i="23"/>
  <c r="F96" i="23" s="1"/>
  <c r="D8" i="23"/>
  <c r="D11" i="23"/>
  <c r="F11" i="23" s="1"/>
  <c r="D19" i="23"/>
  <c r="D27" i="23"/>
  <c r="F27" i="23" s="1"/>
  <c r="D35" i="23"/>
  <c r="D43" i="23"/>
  <c r="F43" i="23" s="1"/>
  <c r="D51" i="23"/>
  <c r="D56" i="23"/>
  <c r="F56" i="23" s="1"/>
  <c r="D61" i="23"/>
  <c r="I61" i="23" s="1"/>
  <c r="D67" i="23"/>
  <c r="I67" i="23" s="1"/>
  <c r="D72" i="23"/>
  <c r="D77" i="23"/>
  <c r="I77" i="23" s="1"/>
  <c r="D83" i="23"/>
  <c r="D88" i="23"/>
  <c r="I88" i="23" s="1"/>
  <c r="D93" i="23"/>
  <c r="D99" i="23"/>
  <c r="F99" i="23" s="1"/>
  <c r="D104" i="23"/>
  <c r="D6" i="23"/>
  <c r="I6" i="23" s="1"/>
  <c r="D12" i="23"/>
  <c r="I12" i="23" s="1"/>
  <c r="D20" i="23"/>
  <c r="I20" i="23" s="1"/>
  <c r="D28" i="23"/>
  <c r="D36" i="23"/>
  <c r="F36" i="23" s="1"/>
  <c r="D44" i="23"/>
  <c r="F44" i="23" s="1"/>
  <c r="D52" i="23"/>
  <c r="I52" i="23" s="1"/>
  <c r="D57" i="23"/>
  <c r="D63" i="23"/>
  <c r="I63" i="23" s="1"/>
  <c r="D68" i="23"/>
  <c r="D73" i="23"/>
  <c r="I73" i="23" s="1"/>
  <c r="D79" i="23"/>
  <c r="F79" i="23" s="1"/>
  <c r="D84" i="23"/>
  <c r="I84" i="23" s="1"/>
  <c r="D89" i="23"/>
  <c r="F89" i="23" s="1"/>
  <c r="D95" i="23"/>
  <c r="I95" i="23" s="1"/>
  <c r="D100" i="23"/>
  <c r="D105" i="23"/>
  <c r="I105" i="23" s="1"/>
  <c r="D15" i="23"/>
  <c r="D31" i="23"/>
  <c r="F31" i="23" s="1"/>
  <c r="D47" i="23"/>
  <c r="D59" i="23"/>
  <c r="F59" i="23" s="1"/>
  <c r="D69" i="23"/>
  <c r="F69" i="23" s="1"/>
  <c r="D80" i="23"/>
  <c r="I80" i="23" s="1"/>
  <c r="D91" i="23"/>
  <c r="D101" i="23"/>
  <c r="I101" i="23" s="1"/>
  <c r="B10" i="19"/>
  <c r="D10" i="19" s="1"/>
  <c r="I16" i="8"/>
  <c r="J16" i="8" s="1"/>
  <c r="D149" i="2" s="1"/>
  <c r="B150" i="2" s="1"/>
  <c r="B187" i="2"/>
  <c r="B190" i="2" s="1"/>
  <c r="B11" i="19"/>
  <c r="D11" i="19" s="1"/>
  <c r="I4" i="8" s="1"/>
  <c r="J4" i="8" s="1"/>
  <c r="B205" i="2"/>
  <c r="B3" i="8"/>
  <c r="B159" i="8" s="1"/>
  <c r="B158" i="8" s="1"/>
  <c r="B157" i="8" s="1"/>
  <c r="B156" i="8" s="1"/>
  <c r="B155" i="8" s="1"/>
  <c r="B154" i="8" s="1"/>
  <c r="B153" i="8" s="1"/>
  <c r="B152" i="8" s="1"/>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31" i="16"/>
  <c r="D3" i="8"/>
  <c r="D159" i="8" s="1"/>
  <c r="D158" i="8" s="1"/>
  <c r="D157" i="8" s="1"/>
  <c r="D156" i="8" s="1"/>
  <c r="D155" i="8" s="1"/>
  <c r="D154" i="8" s="1"/>
  <c r="D153" i="8" s="1"/>
  <c r="D152" i="8" s="1"/>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9" i="8"/>
  <c r="E158" i="8" s="1"/>
  <c r="E157" i="8" s="1"/>
  <c r="E156" i="8" s="1"/>
  <c r="E155" i="8" s="1"/>
  <c r="E154" i="8" s="1"/>
  <c r="E153" i="8" s="1"/>
  <c r="E152" i="8" s="1"/>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B206" i="2"/>
  <c r="S53" i="2"/>
  <c r="D33" i="16" s="1"/>
  <c r="B200" i="2"/>
  <c r="I50" i="2"/>
  <c r="C3" i="8"/>
  <c r="C159" i="8" s="1"/>
  <c r="C158" i="8" s="1"/>
  <c r="G35" i="16"/>
  <c r="A200" i="2"/>
  <c r="F27" i="1"/>
  <c r="B9" i="19"/>
  <c r="D9" i="19" s="1"/>
  <c r="B17" i="19"/>
  <c r="D17" i="19" s="1"/>
  <c r="B189" i="2"/>
  <c r="B188" i="2"/>
  <c r="B13" i="2"/>
  <c r="BK110" i="24" l="1"/>
  <c r="P212" i="24"/>
  <c r="L14" i="1"/>
  <c r="D61" i="2"/>
  <c r="N131" i="25"/>
  <c r="O131" i="25" s="1"/>
  <c r="Q131" i="25" s="1"/>
  <c r="BI131" i="25"/>
  <c r="L116" i="25"/>
  <c r="BI116" i="25"/>
  <c r="L164" i="25"/>
  <c r="BI164" i="25"/>
  <c r="N157" i="25"/>
  <c r="O157" i="25" s="1"/>
  <c r="R157" i="25" s="1"/>
  <c r="BI157" i="25"/>
  <c r="N189" i="25"/>
  <c r="O189" i="25" s="1"/>
  <c r="R189" i="25" s="1"/>
  <c r="BI189" i="25"/>
  <c r="N138" i="25"/>
  <c r="O138" i="25" s="1"/>
  <c r="R138" i="25" s="1"/>
  <c r="BI138" i="25"/>
  <c r="L143" i="25"/>
  <c r="BI143" i="25"/>
  <c r="N183" i="25"/>
  <c r="O183" i="25" s="1"/>
  <c r="Q183" i="25" s="1"/>
  <c r="BI183" i="25"/>
  <c r="L120" i="25"/>
  <c r="BI120" i="25"/>
  <c r="L136" i="25"/>
  <c r="BI136" i="25"/>
  <c r="N152" i="25"/>
  <c r="O152" i="25" s="1"/>
  <c r="Q152" i="25" s="1"/>
  <c r="BI152" i="25"/>
  <c r="L168" i="25"/>
  <c r="BI168" i="25"/>
  <c r="N184" i="25"/>
  <c r="O184" i="25" s="1"/>
  <c r="Q184" i="25" s="1"/>
  <c r="BI184" i="25"/>
  <c r="N200" i="25"/>
  <c r="O200" i="25" s="1"/>
  <c r="Q200" i="25" s="1"/>
  <c r="BI200" i="25"/>
  <c r="N139" i="25"/>
  <c r="O139" i="25" s="1"/>
  <c r="R139" i="25" s="1"/>
  <c r="BI139" i="25"/>
  <c r="L191" i="25"/>
  <c r="BI191" i="25"/>
  <c r="N113" i="25"/>
  <c r="O113" i="25" s="1"/>
  <c r="Q113" i="25" s="1"/>
  <c r="BI113" i="25"/>
  <c r="L129" i="25"/>
  <c r="BI129" i="25"/>
  <c r="N145" i="25"/>
  <c r="O145" i="25" s="1"/>
  <c r="R145" i="25" s="1"/>
  <c r="BI145" i="25"/>
  <c r="N177" i="25"/>
  <c r="O177" i="25" s="1"/>
  <c r="R177" i="25" s="1"/>
  <c r="BI177" i="25"/>
  <c r="L193" i="25"/>
  <c r="BI193" i="25"/>
  <c r="L209" i="25"/>
  <c r="BI209" i="25"/>
  <c r="L147" i="25"/>
  <c r="BI147" i="25"/>
  <c r="N207" i="25"/>
  <c r="O207" i="25" s="1"/>
  <c r="Q207" i="25" s="1"/>
  <c r="BI207" i="25"/>
  <c r="N126" i="25"/>
  <c r="O126" i="25" s="1"/>
  <c r="R126" i="25" s="1"/>
  <c r="BI126" i="25"/>
  <c r="N142" i="25"/>
  <c r="O142" i="25" s="1"/>
  <c r="Q142" i="25" s="1"/>
  <c r="BI142" i="25"/>
  <c r="N158" i="25"/>
  <c r="BI158" i="25"/>
  <c r="L174" i="25"/>
  <c r="BI174" i="25"/>
  <c r="N190" i="25"/>
  <c r="O190" i="25" s="1"/>
  <c r="Q190" i="25" s="1"/>
  <c r="BI190" i="25"/>
  <c r="L206" i="25"/>
  <c r="BI206" i="25"/>
  <c r="L115" i="25"/>
  <c r="BI115" i="25"/>
  <c r="N151" i="25"/>
  <c r="O151" i="25" s="1"/>
  <c r="R151" i="25" s="1"/>
  <c r="BI151" i="25"/>
  <c r="L199" i="25"/>
  <c r="BI199" i="25"/>
  <c r="N124" i="25"/>
  <c r="O124" i="25" s="1"/>
  <c r="Q124" i="25" s="1"/>
  <c r="BI124" i="25"/>
  <c r="L140" i="25"/>
  <c r="BI140" i="25"/>
  <c r="L156" i="25"/>
  <c r="BI156" i="25"/>
  <c r="N172" i="25"/>
  <c r="O172" i="25" s="1"/>
  <c r="R172" i="25" s="1"/>
  <c r="BI172" i="25"/>
  <c r="N188" i="25"/>
  <c r="O188" i="25" s="1"/>
  <c r="Q188" i="25" s="1"/>
  <c r="BI188" i="25"/>
  <c r="N204" i="25"/>
  <c r="O204" i="25" s="1"/>
  <c r="R204" i="25" s="1"/>
  <c r="BI204" i="25"/>
  <c r="L159" i="25"/>
  <c r="BI159" i="25"/>
  <c r="N195" i="25"/>
  <c r="O195" i="25" s="1"/>
  <c r="Q195" i="25" s="1"/>
  <c r="BI195" i="25"/>
  <c r="N117" i="25"/>
  <c r="O117" i="25" s="1"/>
  <c r="Q117" i="25" s="1"/>
  <c r="BI117" i="25"/>
  <c r="N133" i="25"/>
  <c r="O133" i="25" s="1"/>
  <c r="R133" i="25" s="1"/>
  <c r="BI133" i="25"/>
  <c r="L149" i="25"/>
  <c r="BI149" i="25"/>
  <c r="N165" i="25"/>
  <c r="O165" i="25" s="1"/>
  <c r="R165" i="25" s="1"/>
  <c r="BI165" i="25"/>
  <c r="N181" i="25"/>
  <c r="O181" i="25" s="1"/>
  <c r="Q181" i="25" s="1"/>
  <c r="BI181" i="25"/>
  <c r="N197" i="25"/>
  <c r="O197" i="25" s="1"/>
  <c r="Q197" i="25" s="1"/>
  <c r="BI197" i="25"/>
  <c r="L111" i="25"/>
  <c r="BI111" i="25"/>
  <c r="N155" i="25"/>
  <c r="O155" i="25" s="1"/>
  <c r="Q155" i="25" s="1"/>
  <c r="BI155" i="25"/>
  <c r="L114" i="25"/>
  <c r="BI114" i="25"/>
  <c r="L130" i="25"/>
  <c r="BI130" i="25"/>
  <c r="N146" i="25"/>
  <c r="O146" i="25" s="1"/>
  <c r="Q146" i="25" s="1"/>
  <c r="BI146" i="25"/>
  <c r="N162" i="25"/>
  <c r="O162" i="25" s="1"/>
  <c r="Q162" i="25" s="1"/>
  <c r="BI162" i="25"/>
  <c r="L178" i="25"/>
  <c r="BI178" i="25"/>
  <c r="L194" i="25"/>
  <c r="BI194" i="25"/>
  <c r="L210" i="25"/>
  <c r="BI210" i="25"/>
  <c r="N171" i="25"/>
  <c r="O171" i="25" s="1"/>
  <c r="R171" i="25" s="1"/>
  <c r="BI171" i="25"/>
  <c r="L132" i="25"/>
  <c r="BI132" i="25"/>
  <c r="N148" i="25"/>
  <c r="O148" i="25" s="1"/>
  <c r="Q148" i="25" s="1"/>
  <c r="BI148" i="25"/>
  <c r="N180" i="25"/>
  <c r="O180" i="25" s="1"/>
  <c r="R180" i="25" s="1"/>
  <c r="BI180" i="25"/>
  <c r="L196" i="25"/>
  <c r="BI196" i="25"/>
  <c r="N127" i="25"/>
  <c r="O127" i="25" s="1"/>
  <c r="Q127" i="25" s="1"/>
  <c r="BI127" i="25"/>
  <c r="L187" i="25"/>
  <c r="BI187" i="25"/>
  <c r="N125" i="25"/>
  <c r="O125" i="25" s="1"/>
  <c r="Q125" i="25" s="1"/>
  <c r="BI125" i="25"/>
  <c r="N141" i="25"/>
  <c r="O141" i="25" s="1"/>
  <c r="R141" i="25" s="1"/>
  <c r="BI141" i="25"/>
  <c r="N173" i="25"/>
  <c r="O173" i="25" s="1"/>
  <c r="R173" i="25" s="1"/>
  <c r="BI173" i="25"/>
  <c r="N205" i="25"/>
  <c r="O205" i="25" s="1"/>
  <c r="Q205" i="25" s="1"/>
  <c r="BI205" i="25"/>
  <c r="L135" i="25"/>
  <c r="BI135" i="25"/>
  <c r="L179" i="25"/>
  <c r="BI179" i="25"/>
  <c r="N122" i="25"/>
  <c r="O122" i="25" s="1"/>
  <c r="R122" i="25" s="1"/>
  <c r="BI122" i="25"/>
  <c r="L154" i="25"/>
  <c r="BI154" i="25"/>
  <c r="N170" i="25"/>
  <c r="O170" i="25" s="1"/>
  <c r="R170" i="25" s="1"/>
  <c r="BI170" i="25"/>
  <c r="L186" i="25"/>
  <c r="BI186" i="25"/>
  <c r="N202" i="25"/>
  <c r="O202" i="25" s="1"/>
  <c r="R202" i="25" s="1"/>
  <c r="BI202" i="25"/>
  <c r="L161" i="25"/>
  <c r="BI161" i="25"/>
  <c r="L123" i="25"/>
  <c r="BI123" i="25"/>
  <c r="N163" i="25"/>
  <c r="O163" i="25" s="1"/>
  <c r="Q163" i="25" s="1"/>
  <c r="BI163" i="25"/>
  <c r="L112" i="25"/>
  <c r="BI112" i="25"/>
  <c r="N128" i="25"/>
  <c r="O128" i="25" s="1"/>
  <c r="Q128" i="25" s="1"/>
  <c r="BI128" i="25"/>
  <c r="L144" i="25"/>
  <c r="BI144" i="25"/>
  <c r="L160" i="25"/>
  <c r="BI160" i="25"/>
  <c r="N176" i="25"/>
  <c r="O176" i="25" s="1"/>
  <c r="R176" i="25" s="1"/>
  <c r="BI176" i="25"/>
  <c r="L192" i="25"/>
  <c r="BI192" i="25"/>
  <c r="N208" i="25"/>
  <c r="O208" i="25" s="1"/>
  <c r="Q208" i="25" s="1"/>
  <c r="BI208" i="25"/>
  <c r="L175" i="25"/>
  <c r="BI175" i="25"/>
  <c r="N203" i="25"/>
  <c r="O203" i="25" s="1"/>
  <c r="Q203" i="25" s="1"/>
  <c r="BI203" i="25"/>
  <c r="N121" i="25"/>
  <c r="O121" i="25" s="1"/>
  <c r="Q121" i="25" s="1"/>
  <c r="BI121" i="25"/>
  <c r="L137" i="25"/>
  <c r="BI137" i="25"/>
  <c r="L153" i="25"/>
  <c r="BI153" i="25"/>
  <c r="L169" i="25"/>
  <c r="BI169" i="25"/>
  <c r="L185" i="25"/>
  <c r="BI185" i="25"/>
  <c r="L201" i="25"/>
  <c r="BI201" i="25"/>
  <c r="L119" i="25"/>
  <c r="BI119" i="25"/>
  <c r="L167" i="25"/>
  <c r="BI167" i="25"/>
  <c r="N118" i="25"/>
  <c r="O118" i="25" s="1"/>
  <c r="R118" i="25" s="1"/>
  <c r="BI118" i="25"/>
  <c r="L134" i="25"/>
  <c r="BI134" i="25"/>
  <c r="N150" i="25"/>
  <c r="O150" i="25" s="1"/>
  <c r="Q150" i="25" s="1"/>
  <c r="BI150" i="25"/>
  <c r="L166" i="25"/>
  <c r="BI166" i="25"/>
  <c r="L182" i="25"/>
  <c r="BI182" i="25"/>
  <c r="L198" i="25"/>
  <c r="BI198" i="25"/>
  <c r="K171" i="24"/>
  <c r="BK171" i="24"/>
  <c r="M123" i="24"/>
  <c r="N123" i="24" s="1"/>
  <c r="P123" i="24" s="1"/>
  <c r="BK123" i="24"/>
  <c r="K175" i="24"/>
  <c r="BK175" i="24"/>
  <c r="M128" i="24"/>
  <c r="N128" i="24" s="1"/>
  <c r="P128" i="24" s="1"/>
  <c r="BK128" i="24"/>
  <c r="K184" i="24"/>
  <c r="BK184" i="24"/>
  <c r="M142" i="24"/>
  <c r="N142" i="24" s="1"/>
  <c r="P142" i="24" s="1"/>
  <c r="BK142" i="24"/>
  <c r="M194" i="24"/>
  <c r="N194" i="24" s="1"/>
  <c r="P194" i="24" s="1"/>
  <c r="BK194" i="24"/>
  <c r="K151" i="24"/>
  <c r="BK151" i="24"/>
  <c r="K124" i="24"/>
  <c r="BK124" i="24"/>
  <c r="K114" i="24"/>
  <c r="BK114" i="24"/>
  <c r="M181" i="24"/>
  <c r="N181" i="24" s="1"/>
  <c r="P181" i="24" s="1"/>
  <c r="BK181" i="24"/>
  <c r="M165" i="24"/>
  <c r="N165" i="24" s="1"/>
  <c r="P165" i="24" s="1"/>
  <c r="BK165" i="24"/>
  <c r="K133" i="24"/>
  <c r="BK133" i="24"/>
  <c r="M208" i="24"/>
  <c r="N208" i="24" s="1"/>
  <c r="P208" i="24" s="1"/>
  <c r="BK208" i="24"/>
  <c r="K166" i="24"/>
  <c r="BK166" i="24"/>
  <c r="M115" i="24"/>
  <c r="N115" i="24" s="1"/>
  <c r="P115" i="24" s="1"/>
  <c r="BK115" i="24"/>
  <c r="M170" i="24"/>
  <c r="N170" i="24" s="1"/>
  <c r="P170" i="24" s="1"/>
  <c r="BK170" i="24"/>
  <c r="K120" i="24"/>
  <c r="BK120" i="24"/>
  <c r="M179" i="24"/>
  <c r="N179" i="24" s="1"/>
  <c r="BK179" i="24"/>
  <c r="K135" i="24"/>
  <c r="BK135" i="24"/>
  <c r="M210" i="24"/>
  <c r="BK210" i="24"/>
  <c r="M167" i="24"/>
  <c r="N167" i="24" s="1"/>
  <c r="P167" i="24" s="1"/>
  <c r="BK167" i="24"/>
  <c r="K146" i="24"/>
  <c r="BK146" i="24"/>
  <c r="K126" i="24"/>
  <c r="BK126" i="24"/>
  <c r="K193" i="24"/>
  <c r="BK193" i="24"/>
  <c r="M161" i="24"/>
  <c r="N161" i="24" s="1"/>
  <c r="P161" i="24" s="1"/>
  <c r="BK161" i="24"/>
  <c r="K113" i="24"/>
  <c r="BK113" i="24"/>
  <c r="K198" i="24"/>
  <c r="BK198" i="24"/>
  <c r="K176" i="24"/>
  <c r="BK176" i="24"/>
  <c r="M155" i="24"/>
  <c r="N155" i="24" s="1"/>
  <c r="P155" i="24" s="1"/>
  <c r="BK155" i="24"/>
  <c r="M131" i="24"/>
  <c r="N131" i="24" s="1"/>
  <c r="P131" i="24" s="1"/>
  <c r="BK131" i="24"/>
  <c r="K202" i="24"/>
  <c r="BK202" i="24"/>
  <c r="K180" i="24"/>
  <c r="BK180" i="24"/>
  <c r="M159" i="24"/>
  <c r="N159" i="24" s="1"/>
  <c r="P159" i="24" s="1"/>
  <c r="BK159" i="24"/>
  <c r="M136" i="24"/>
  <c r="N136" i="24" s="1"/>
  <c r="P136" i="24" s="1"/>
  <c r="BK136" i="24"/>
  <c r="K190" i="24"/>
  <c r="BK190" i="24"/>
  <c r="K168" i="24"/>
  <c r="BK168" i="24"/>
  <c r="K147" i="24"/>
  <c r="BK147" i="24"/>
  <c r="M119" i="24"/>
  <c r="N119" i="24" s="1"/>
  <c r="P119" i="24" s="1"/>
  <c r="BK119" i="24"/>
  <c r="M199" i="24"/>
  <c r="N199" i="24" s="1"/>
  <c r="P199" i="24" s="1"/>
  <c r="BK199" i="24"/>
  <c r="K178" i="24"/>
  <c r="BK178" i="24"/>
  <c r="K156" i="24"/>
  <c r="BK156" i="24"/>
  <c r="K132" i="24"/>
  <c r="BK132" i="24"/>
  <c r="M134" i="24"/>
  <c r="N134" i="24" s="1"/>
  <c r="P134" i="24" s="1"/>
  <c r="BK134" i="24"/>
  <c r="K118" i="24"/>
  <c r="BK118" i="24"/>
  <c r="M201" i="24"/>
  <c r="N201" i="24" s="1"/>
  <c r="P201" i="24" s="1"/>
  <c r="BK201" i="24"/>
  <c r="K185" i="24"/>
  <c r="BK185" i="24"/>
  <c r="M169" i="24"/>
  <c r="N169" i="24" s="1"/>
  <c r="P169" i="24" s="1"/>
  <c r="BK169" i="24"/>
  <c r="K153" i="24"/>
  <c r="BK153" i="24"/>
  <c r="M137" i="24"/>
  <c r="N137" i="24" s="1"/>
  <c r="P137" i="24" s="1"/>
  <c r="BK137" i="24"/>
  <c r="K121" i="24"/>
  <c r="BK121" i="24"/>
  <c r="M192" i="24"/>
  <c r="N192" i="24" s="1"/>
  <c r="P192" i="24" s="1"/>
  <c r="BK192" i="24"/>
  <c r="M150" i="24"/>
  <c r="N150" i="24" s="1"/>
  <c r="P150" i="24" s="1"/>
  <c r="BK150" i="24"/>
  <c r="M196" i="24"/>
  <c r="N196" i="24" s="1"/>
  <c r="P196" i="24" s="1"/>
  <c r="BK196" i="24"/>
  <c r="M154" i="24"/>
  <c r="N154" i="24" s="1"/>
  <c r="P154" i="24" s="1"/>
  <c r="BK154" i="24"/>
  <c r="M206" i="24"/>
  <c r="N206" i="24" s="1"/>
  <c r="P206" i="24" s="1"/>
  <c r="BK206" i="24"/>
  <c r="M163" i="24"/>
  <c r="N163" i="24" s="1"/>
  <c r="P163" i="24" s="1"/>
  <c r="BK163" i="24"/>
  <c r="K111" i="24"/>
  <c r="BK111" i="24"/>
  <c r="M172" i="24"/>
  <c r="N172" i="24" s="1"/>
  <c r="P172" i="24" s="1"/>
  <c r="BK172" i="24"/>
  <c r="K130" i="24"/>
  <c r="BK130" i="24"/>
  <c r="K197" i="24"/>
  <c r="BK197" i="24"/>
  <c r="M149" i="24"/>
  <c r="N149" i="24" s="1"/>
  <c r="P149" i="24" s="1"/>
  <c r="BK149" i="24"/>
  <c r="K117" i="24"/>
  <c r="BK117" i="24"/>
  <c r="M187" i="24"/>
  <c r="N187" i="24" s="1"/>
  <c r="P187" i="24" s="1"/>
  <c r="BK187" i="24"/>
  <c r="K144" i="24"/>
  <c r="BK144" i="24"/>
  <c r="K191" i="24"/>
  <c r="BK191" i="24"/>
  <c r="M148" i="24"/>
  <c r="N148" i="24" s="1"/>
  <c r="P148" i="24" s="1"/>
  <c r="BK148" i="24"/>
  <c r="K200" i="24"/>
  <c r="BK200" i="24"/>
  <c r="K158" i="24"/>
  <c r="BK158" i="24"/>
  <c r="M188" i="24"/>
  <c r="N188" i="24" s="1"/>
  <c r="P188" i="24" s="1"/>
  <c r="BK188" i="24"/>
  <c r="M116" i="24"/>
  <c r="N116" i="24" s="1"/>
  <c r="P116" i="24" s="1"/>
  <c r="BK116" i="24"/>
  <c r="K209" i="24"/>
  <c r="BK209" i="24"/>
  <c r="M177" i="24"/>
  <c r="N177" i="24" s="1"/>
  <c r="P177" i="24" s="1"/>
  <c r="BK177" i="24"/>
  <c r="M145" i="24"/>
  <c r="N145" i="24" s="1"/>
  <c r="P145" i="24" s="1"/>
  <c r="BK145" i="24"/>
  <c r="K129" i="24"/>
  <c r="BK129" i="24"/>
  <c r="M203" i="24"/>
  <c r="N203" i="24" s="1"/>
  <c r="P203" i="24" s="1"/>
  <c r="BK203" i="24"/>
  <c r="M182" i="24"/>
  <c r="N182" i="24" s="1"/>
  <c r="P182" i="24" s="1"/>
  <c r="BK182" i="24"/>
  <c r="K160" i="24"/>
  <c r="BK160" i="24"/>
  <c r="K139" i="24"/>
  <c r="BK139" i="24"/>
  <c r="M207" i="24"/>
  <c r="N207" i="24" s="1"/>
  <c r="P207" i="24" s="1"/>
  <c r="BK207" i="24"/>
  <c r="M186" i="24"/>
  <c r="N186" i="24" s="1"/>
  <c r="P186" i="24" s="1"/>
  <c r="BK186" i="24"/>
  <c r="K164" i="24"/>
  <c r="BK164" i="24"/>
  <c r="K143" i="24"/>
  <c r="BK143" i="24"/>
  <c r="M112" i="24"/>
  <c r="N112" i="24" s="1"/>
  <c r="P112" i="24" s="1"/>
  <c r="BK112" i="24"/>
  <c r="K195" i="24"/>
  <c r="BK195" i="24"/>
  <c r="K174" i="24"/>
  <c r="BK174" i="24"/>
  <c r="M152" i="24"/>
  <c r="N152" i="24" s="1"/>
  <c r="P152" i="24" s="1"/>
  <c r="BK152" i="24"/>
  <c r="K127" i="24"/>
  <c r="BK127" i="24"/>
  <c r="K204" i="24"/>
  <c r="BK204" i="24"/>
  <c r="M183" i="24"/>
  <c r="N183" i="24" s="1"/>
  <c r="P183" i="24" s="1"/>
  <c r="BK183" i="24"/>
  <c r="M162" i="24"/>
  <c r="N162" i="24" s="1"/>
  <c r="P162" i="24" s="1"/>
  <c r="BK162" i="24"/>
  <c r="K140" i="24"/>
  <c r="BK140" i="24"/>
  <c r="K138" i="24"/>
  <c r="BK138" i="24"/>
  <c r="M122" i="24"/>
  <c r="N122" i="24" s="1"/>
  <c r="P122" i="24" s="1"/>
  <c r="BK122" i="24"/>
  <c r="M205" i="24"/>
  <c r="N205" i="24" s="1"/>
  <c r="P205" i="24" s="1"/>
  <c r="BK205" i="24"/>
  <c r="K189" i="24"/>
  <c r="BK189" i="24"/>
  <c r="K173" i="24"/>
  <c r="BK173" i="24"/>
  <c r="M157" i="24"/>
  <c r="N157" i="24" s="1"/>
  <c r="P157" i="24" s="1"/>
  <c r="BK157" i="24"/>
  <c r="K141" i="24"/>
  <c r="BK141" i="24"/>
  <c r="M125" i="24"/>
  <c r="N125" i="24" s="1"/>
  <c r="P125" i="24" s="1"/>
  <c r="BK125" i="24"/>
  <c r="N187" i="25"/>
  <c r="O187" i="25" s="1"/>
  <c r="Q187" i="25" s="1"/>
  <c r="L200" i="25"/>
  <c r="B249" i="2"/>
  <c r="L13" i="1"/>
  <c r="J5" i="24"/>
  <c r="O5" i="24"/>
  <c r="S216" i="24"/>
  <c r="T216" i="24" s="1"/>
  <c r="S110" i="24"/>
  <c r="T110" i="24" s="1"/>
  <c r="P179" i="24"/>
  <c r="A28" i="16"/>
  <c r="P5" i="24"/>
  <c r="U5" i="24"/>
  <c r="T5" i="25"/>
  <c r="U5" i="25" s="1"/>
  <c r="N110" i="25"/>
  <c r="T110" i="25" s="1"/>
  <c r="U110" i="25" s="1"/>
  <c r="M110" i="24"/>
  <c r="N110" i="24" s="1"/>
  <c r="BP5" i="25"/>
  <c r="L176" i="25"/>
  <c r="B245" i="2"/>
  <c r="D245" i="2" s="1"/>
  <c r="D34" i="16"/>
  <c r="L155" i="25"/>
  <c r="N149" i="25"/>
  <c r="O149" i="25" s="1"/>
  <c r="R149" i="25" s="1"/>
  <c r="N115" i="25"/>
  <c r="O115" i="25" s="1"/>
  <c r="R115" i="25" s="1"/>
  <c r="L172" i="25"/>
  <c r="N199" i="25"/>
  <c r="O199" i="25" s="1"/>
  <c r="R199" i="25" s="1"/>
  <c r="L124" i="25"/>
  <c r="N156" i="25"/>
  <c r="O156" i="25" s="1"/>
  <c r="R156" i="25" s="1"/>
  <c r="N114" i="25"/>
  <c r="O114" i="25" s="1"/>
  <c r="Q114" i="25" s="1"/>
  <c r="N130" i="25"/>
  <c r="O130" i="25" s="1"/>
  <c r="Q130" i="25" s="1"/>
  <c r="L195" i="25"/>
  <c r="N194" i="25"/>
  <c r="O194" i="25" s="1"/>
  <c r="R194" i="25" s="1"/>
  <c r="L162" i="25"/>
  <c r="L151" i="25"/>
  <c r="N143" i="25"/>
  <c r="O143" i="25" s="1"/>
  <c r="Q143" i="25" s="1"/>
  <c r="L145" i="25"/>
  <c r="O9" i="25"/>
  <c r="R9" i="25" s="1"/>
  <c r="O10" i="25"/>
  <c r="Q10" i="25" s="1"/>
  <c r="O80" i="25"/>
  <c r="Q80" i="25" s="1"/>
  <c r="O53" i="25"/>
  <c r="R53" i="25" s="1"/>
  <c r="L113" i="25"/>
  <c r="N161" i="25"/>
  <c r="O161" i="25" s="1"/>
  <c r="Q161" i="25" s="1"/>
  <c r="W42" i="2"/>
  <c r="W43" i="2" s="1"/>
  <c r="R43" i="2"/>
  <c r="N111" i="25"/>
  <c r="O111" i="25" s="1"/>
  <c r="R111" i="25" s="1"/>
  <c r="N159" i="25"/>
  <c r="O159" i="25" s="1"/>
  <c r="R159" i="25" s="1"/>
  <c r="L133" i="25"/>
  <c r="L197" i="25"/>
  <c r="N140" i="25"/>
  <c r="O140" i="25" s="1"/>
  <c r="R140" i="25" s="1"/>
  <c r="N178" i="25"/>
  <c r="O178" i="25" s="1"/>
  <c r="Q178" i="25" s="1"/>
  <c r="N210" i="25"/>
  <c r="O210" i="25" s="1"/>
  <c r="Q210" i="25" s="1"/>
  <c r="L146" i="25"/>
  <c r="L204" i="25"/>
  <c r="L117" i="25"/>
  <c r="L165" i="25"/>
  <c r="L188" i="25"/>
  <c r="L181" i="25"/>
  <c r="L184" i="25"/>
  <c r="L177" i="25"/>
  <c r="N193" i="25"/>
  <c r="O193" i="25" s="1"/>
  <c r="Q193" i="25" s="1"/>
  <c r="N147" i="25"/>
  <c r="O147" i="25" s="1"/>
  <c r="R147" i="25" s="1"/>
  <c r="L139" i="25"/>
  <c r="L142" i="25"/>
  <c r="L183" i="25"/>
  <c r="N168" i="25"/>
  <c r="O168" i="25" s="1"/>
  <c r="Q168" i="25" s="1"/>
  <c r="N174" i="25"/>
  <c r="O174" i="25" s="1"/>
  <c r="Q174" i="25" s="1"/>
  <c r="O57" i="25"/>
  <c r="R57" i="25" s="1"/>
  <c r="O89" i="25"/>
  <c r="R89" i="25" s="1"/>
  <c r="O94" i="25"/>
  <c r="R94" i="25" s="1"/>
  <c r="O55" i="25"/>
  <c r="Q55" i="25" s="1"/>
  <c r="O65" i="25"/>
  <c r="Q65" i="25" s="1"/>
  <c r="O12" i="25"/>
  <c r="R12" i="25" s="1"/>
  <c r="O104" i="25"/>
  <c r="Q104" i="25" s="1"/>
  <c r="O13" i="25"/>
  <c r="R13" i="25" s="1"/>
  <c r="O32" i="25"/>
  <c r="Q32" i="25" s="1"/>
  <c r="O52" i="25"/>
  <c r="Q52" i="25" s="1"/>
  <c r="O18" i="25"/>
  <c r="R18" i="25" s="1"/>
  <c r="O31" i="25"/>
  <c r="Q31" i="25" s="1"/>
  <c r="O59" i="25"/>
  <c r="Q59" i="25" s="1"/>
  <c r="O93" i="25"/>
  <c r="Q93" i="25" s="1"/>
  <c r="R44" i="2"/>
  <c r="B26" i="2"/>
  <c r="L118" i="25"/>
  <c r="N175" i="25"/>
  <c r="O175" i="25" s="1"/>
  <c r="R175" i="25" s="1"/>
  <c r="L148" i="25"/>
  <c r="L122" i="25"/>
  <c r="N136" i="25"/>
  <c r="O136" i="25" s="1"/>
  <c r="R136" i="25" s="1"/>
  <c r="L180" i="25"/>
  <c r="N120" i="25"/>
  <c r="O120" i="25" s="1"/>
  <c r="R120" i="25" s="1"/>
  <c r="L163" i="25"/>
  <c r="N129" i="25"/>
  <c r="O129" i="25" s="1"/>
  <c r="Q129" i="25" s="1"/>
  <c r="N119" i="25"/>
  <c r="O119" i="25" s="1"/>
  <c r="Q119" i="25" s="1"/>
  <c r="L128" i="25"/>
  <c r="L158" i="25"/>
  <c r="L152" i="25"/>
  <c r="N191" i="25"/>
  <c r="O191" i="25" s="1"/>
  <c r="R191" i="25" s="1"/>
  <c r="N192" i="25"/>
  <c r="O192" i="25" s="1"/>
  <c r="R192" i="25" s="1"/>
  <c r="N185" i="25"/>
  <c r="O185" i="25" s="1"/>
  <c r="Q185" i="25" s="1"/>
  <c r="N166" i="25"/>
  <c r="O166" i="25" s="1"/>
  <c r="Q166" i="25" s="1"/>
  <c r="L203" i="25"/>
  <c r="N167" i="25"/>
  <c r="O167" i="25" s="1"/>
  <c r="R167" i="25" s="1"/>
  <c r="L207" i="25"/>
  <c r="N209" i="25"/>
  <c r="O209" i="25" s="1"/>
  <c r="Q209" i="25" s="1"/>
  <c r="L126" i="25"/>
  <c r="N206" i="25"/>
  <c r="O206" i="25" s="1"/>
  <c r="Q206" i="25" s="1"/>
  <c r="N160" i="25"/>
  <c r="O160" i="25" s="1"/>
  <c r="R160" i="25" s="1"/>
  <c r="N153" i="25"/>
  <c r="O153" i="25" s="1"/>
  <c r="Q153" i="25" s="1"/>
  <c r="N134" i="25"/>
  <c r="O134" i="25" s="1"/>
  <c r="Q134" i="25" s="1"/>
  <c r="N198" i="25"/>
  <c r="O198" i="25" s="1"/>
  <c r="R198" i="25" s="1"/>
  <c r="N201" i="25"/>
  <c r="O201" i="25" s="1"/>
  <c r="R201" i="25" s="1"/>
  <c r="N112" i="25"/>
  <c r="O112" i="25" s="1"/>
  <c r="R112" i="25" s="1"/>
  <c r="L121" i="25"/>
  <c r="N123" i="25"/>
  <c r="O123" i="25" s="1"/>
  <c r="L150" i="25"/>
  <c r="N144" i="25"/>
  <c r="O144" i="25" s="1"/>
  <c r="Q144" i="25" s="1"/>
  <c r="N137" i="25"/>
  <c r="O137" i="25" s="1"/>
  <c r="R137" i="25" s="1"/>
  <c r="N169" i="25"/>
  <c r="O169" i="25" s="1"/>
  <c r="Q169" i="25" s="1"/>
  <c r="N182" i="25"/>
  <c r="O182" i="25" s="1"/>
  <c r="R182" i="25" s="1"/>
  <c r="L208" i="25"/>
  <c r="L190" i="25"/>
  <c r="L127" i="25"/>
  <c r="N116" i="25"/>
  <c r="O116" i="25" s="1"/>
  <c r="Q116" i="25" s="1"/>
  <c r="O158" i="25"/>
  <c r="R158" i="25" s="1"/>
  <c r="O87" i="25"/>
  <c r="Q87" i="25" s="1"/>
  <c r="O29" i="25"/>
  <c r="R29" i="25" s="1"/>
  <c r="O64" i="25"/>
  <c r="R64" i="25" s="1"/>
  <c r="O35" i="25"/>
  <c r="R35" i="25" s="1"/>
  <c r="O62" i="25"/>
  <c r="R62" i="25" s="1"/>
  <c r="O81" i="25"/>
  <c r="R81" i="25" s="1"/>
  <c r="O72" i="25"/>
  <c r="Q72" i="25" s="1"/>
  <c r="O22" i="25"/>
  <c r="Q22" i="25" s="1"/>
  <c r="O82" i="25"/>
  <c r="Q82" i="25" s="1"/>
  <c r="O63" i="25"/>
  <c r="R63" i="25" s="1"/>
  <c r="O41" i="25"/>
  <c r="Q41" i="25" s="1"/>
  <c r="O67" i="25"/>
  <c r="R67" i="25" s="1"/>
  <c r="O86" i="25"/>
  <c r="Q86" i="25" s="1"/>
  <c r="O44" i="25"/>
  <c r="Q44" i="25" s="1"/>
  <c r="O79" i="25"/>
  <c r="R79" i="25" s="1"/>
  <c r="O100" i="25"/>
  <c r="Q100" i="25" s="1"/>
  <c r="O90" i="25"/>
  <c r="Q90" i="25" s="1"/>
  <c r="O58" i="25"/>
  <c r="Q58" i="25" s="1"/>
  <c r="O30" i="25"/>
  <c r="R30" i="25" s="1"/>
  <c r="O73" i="25"/>
  <c r="R73" i="25" s="1"/>
  <c r="O15" i="25"/>
  <c r="Q15" i="25" s="1"/>
  <c r="O25" i="25"/>
  <c r="R25" i="25" s="1"/>
  <c r="O24" i="25"/>
  <c r="R24" i="25" s="1"/>
  <c r="O6" i="25"/>
  <c r="Q6" i="25" s="1"/>
  <c r="O88" i="25"/>
  <c r="Q88" i="25" s="1"/>
  <c r="O47" i="25"/>
  <c r="Q47" i="25" s="1"/>
  <c r="O16" i="25"/>
  <c r="R16" i="25" s="1"/>
  <c r="O85" i="25"/>
  <c r="Q85" i="25" s="1"/>
  <c r="O60" i="25"/>
  <c r="R60" i="25" s="1"/>
  <c r="O61" i="25"/>
  <c r="R61" i="25" s="1"/>
  <c r="O49" i="25"/>
  <c r="R49" i="25" s="1"/>
  <c r="O8" i="25"/>
  <c r="Q8" i="25" s="1"/>
  <c r="O40" i="25"/>
  <c r="Q40" i="25" s="1"/>
  <c r="O76" i="25"/>
  <c r="Q76" i="25" s="1"/>
  <c r="O26" i="25"/>
  <c r="Q26" i="25" s="1"/>
  <c r="O71" i="25"/>
  <c r="R71" i="25" s="1"/>
  <c r="O69" i="25"/>
  <c r="Q69" i="25" s="1"/>
  <c r="O101" i="25"/>
  <c r="R101" i="25" s="1"/>
  <c r="O21" i="25"/>
  <c r="Q21" i="25" s="1"/>
  <c r="O50" i="25"/>
  <c r="R50" i="25" s="1"/>
  <c r="O99" i="25"/>
  <c r="R99" i="25" s="1"/>
  <c r="O23" i="25"/>
  <c r="Q23" i="25" s="1"/>
  <c r="O51" i="25"/>
  <c r="Q51" i="25" s="1"/>
  <c r="O83" i="25"/>
  <c r="Q83" i="25" s="1"/>
  <c r="O96" i="25"/>
  <c r="Q96" i="25" s="1"/>
  <c r="O91" i="25"/>
  <c r="Q91" i="25" s="1"/>
  <c r="O43" i="25"/>
  <c r="Q43" i="25" s="1"/>
  <c r="O38" i="25"/>
  <c r="Q38" i="25" s="1"/>
  <c r="O70" i="25"/>
  <c r="Q70" i="25" s="1"/>
  <c r="O39" i="25"/>
  <c r="R39" i="25" s="1"/>
  <c r="O37" i="25"/>
  <c r="R37" i="25" s="1"/>
  <c r="O36" i="25"/>
  <c r="Q36" i="25" s="1"/>
  <c r="O84" i="25"/>
  <c r="Q84" i="25" s="1"/>
  <c r="O75" i="25"/>
  <c r="Q75" i="25" s="1"/>
  <c r="O19" i="25"/>
  <c r="R19" i="25" s="1"/>
  <c r="O74" i="25"/>
  <c r="Q74" i="25" s="1"/>
  <c r="O46" i="25"/>
  <c r="R46" i="25" s="1"/>
  <c r="O48" i="25"/>
  <c r="R48" i="25" s="1"/>
  <c r="O105" i="25"/>
  <c r="Q105" i="25" s="1"/>
  <c r="O45" i="25"/>
  <c r="Q45" i="25" s="1"/>
  <c r="O7" i="25"/>
  <c r="R7" i="25" s="1"/>
  <c r="O33" i="25"/>
  <c r="Q33" i="25" s="1"/>
  <c r="O28" i="25"/>
  <c r="Q28" i="25" s="1"/>
  <c r="O54" i="25"/>
  <c r="Q54" i="25" s="1"/>
  <c r="O68" i="25"/>
  <c r="R68" i="25" s="1"/>
  <c r="O42" i="25"/>
  <c r="R42" i="25" s="1"/>
  <c r="O92" i="25"/>
  <c r="Q92" i="25" s="1"/>
  <c r="O103" i="25"/>
  <c r="Q103" i="25" s="1"/>
  <c r="O14" i="25"/>
  <c r="Q14" i="25" s="1"/>
  <c r="O27" i="25"/>
  <c r="R27" i="25" s="1"/>
  <c r="O66" i="25"/>
  <c r="R66" i="25" s="1"/>
  <c r="O11" i="25"/>
  <c r="Q11" i="25" s="1"/>
  <c r="O17" i="25"/>
  <c r="R17" i="25" s="1"/>
  <c r="O77" i="25"/>
  <c r="Q77" i="25" s="1"/>
  <c r="O20" i="25"/>
  <c r="R20" i="25" s="1"/>
  <c r="O56" i="25"/>
  <c r="Q56" i="25" s="1"/>
  <c r="O97" i="25"/>
  <c r="Q97" i="25" s="1"/>
  <c r="O98" i="25"/>
  <c r="R98" i="25" s="1"/>
  <c r="O102" i="25"/>
  <c r="R102" i="25" s="1"/>
  <c r="O95" i="25"/>
  <c r="R95" i="25" s="1"/>
  <c r="O34" i="25"/>
  <c r="R34" i="25" s="1"/>
  <c r="O78" i="25"/>
  <c r="Q78" i="25" s="1"/>
  <c r="L171" i="25"/>
  <c r="L110" i="25"/>
  <c r="L141" i="25"/>
  <c r="L173" i="25"/>
  <c r="L205" i="25"/>
  <c r="N154" i="25"/>
  <c r="O154" i="25" s="1"/>
  <c r="Q154" i="25" s="1"/>
  <c r="N186" i="25"/>
  <c r="O186" i="25" s="1"/>
  <c r="Q186" i="25" s="1"/>
  <c r="N179" i="25"/>
  <c r="O179" i="25" s="1"/>
  <c r="Q179" i="25" s="1"/>
  <c r="L138" i="25"/>
  <c r="L170" i="25"/>
  <c r="L202" i="25"/>
  <c r="N135" i="25"/>
  <c r="O135" i="25" s="1"/>
  <c r="R135" i="25" s="1"/>
  <c r="L131" i="25"/>
  <c r="L125" i="25"/>
  <c r="L157" i="25"/>
  <c r="L189" i="25"/>
  <c r="N132" i="25"/>
  <c r="O132" i="25" s="1"/>
  <c r="Q132" i="25" s="1"/>
  <c r="N164" i="25"/>
  <c r="O164" i="25" s="1"/>
  <c r="Q164" i="25" s="1"/>
  <c r="N196" i="25"/>
  <c r="O196" i="25" s="1"/>
  <c r="Q196" i="25" s="1"/>
  <c r="I9" i="19"/>
  <c r="I8" i="19"/>
  <c r="I7" i="19"/>
  <c r="I6" i="19"/>
  <c r="N238" i="25"/>
  <c r="O238" i="25" s="1"/>
  <c r="L238" i="25"/>
  <c r="N242" i="25"/>
  <c r="O242" i="25" s="1"/>
  <c r="L242" i="25"/>
  <c r="N246" i="25"/>
  <c r="O246" i="25" s="1"/>
  <c r="L246" i="25"/>
  <c r="N234" i="25"/>
  <c r="O234" i="25" s="1"/>
  <c r="L234" i="25"/>
  <c r="N286" i="25"/>
  <c r="O286" i="25" s="1"/>
  <c r="L286" i="25"/>
  <c r="N302" i="25"/>
  <c r="O302" i="25" s="1"/>
  <c r="L302" i="25"/>
  <c r="N216" i="25"/>
  <c r="L216" i="25"/>
  <c r="N231" i="25"/>
  <c r="O231" i="25" s="1"/>
  <c r="L231" i="25"/>
  <c r="L247" i="25"/>
  <c r="N247" i="25"/>
  <c r="O247" i="25" s="1"/>
  <c r="L263" i="25"/>
  <c r="N263" i="25"/>
  <c r="O263" i="25" s="1"/>
  <c r="L279" i="25"/>
  <c r="N279" i="25"/>
  <c r="O279" i="25" s="1"/>
  <c r="L295" i="25"/>
  <c r="N295" i="25"/>
  <c r="O295" i="25" s="1"/>
  <c r="N311" i="25"/>
  <c r="O311" i="25" s="1"/>
  <c r="L311" i="25"/>
  <c r="L228" i="25"/>
  <c r="N228" i="25"/>
  <c r="O228" i="25" s="1"/>
  <c r="L244" i="25"/>
  <c r="N244" i="25"/>
  <c r="O244" i="25" s="1"/>
  <c r="L260" i="25"/>
  <c r="N260" i="25"/>
  <c r="O260" i="25" s="1"/>
  <c r="N276" i="25"/>
  <c r="O276" i="25" s="1"/>
  <c r="L276" i="25"/>
  <c r="L292" i="25"/>
  <c r="N292" i="25"/>
  <c r="O292" i="25" s="1"/>
  <c r="N308" i="25"/>
  <c r="O308" i="25" s="1"/>
  <c r="L308" i="25"/>
  <c r="N221" i="25"/>
  <c r="O221" i="25" s="1"/>
  <c r="L221" i="25"/>
  <c r="L237" i="25"/>
  <c r="N237" i="25"/>
  <c r="O237" i="25" s="1"/>
  <c r="L253" i="25"/>
  <c r="N253" i="25"/>
  <c r="O253" i="25" s="1"/>
  <c r="L269" i="25"/>
  <c r="N269" i="25"/>
  <c r="O269" i="25" s="1"/>
  <c r="N285" i="25"/>
  <c r="O285" i="25" s="1"/>
  <c r="L285" i="25"/>
  <c r="L301" i="25"/>
  <c r="N301" i="25"/>
  <c r="O301" i="25" s="1"/>
  <c r="N254" i="25"/>
  <c r="O254" i="25" s="1"/>
  <c r="L254" i="25"/>
  <c r="N258" i="25"/>
  <c r="O258" i="25" s="1"/>
  <c r="L258" i="25"/>
  <c r="N262" i="25"/>
  <c r="O262" i="25" s="1"/>
  <c r="L262" i="25"/>
  <c r="N250" i="25"/>
  <c r="O250" i="25" s="1"/>
  <c r="L250" i="25"/>
  <c r="N290" i="25"/>
  <c r="O290" i="25" s="1"/>
  <c r="L290" i="25"/>
  <c r="N306" i="25"/>
  <c r="O306" i="25" s="1"/>
  <c r="L306" i="25"/>
  <c r="L219" i="25"/>
  <c r="N219" i="25"/>
  <c r="O219" i="25" s="1"/>
  <c r="L235" i="25"/>
  <c r="N235" i="25"/>
  <c r="O235" i="25" s="1"/>
  <c r="L251" i="25"/>
  <c r="N251" i="25"/>
  <c r="O251" i="25" s="1"/>
  <c r="L267" i="25"/>
  <c r="N267" i="25"/>
  <c r="O267" i="25" s="1"/>
  <c r="N283" i="25"/>
  <c r="O283" i="25" s="1"/>
  <c r="L283" i="25"/>
  <c r="N299" i="25"/>
  <c r="O299" i="25" s="1"/>
  <c r="L299" i="25"/>
  <c r="N315" i="25"/>
  <c r="O315" i="25" s="1"/>
  <c r="L315" i="25"/>
  <c r="N232" i="25"/>
  <c r="O232" i="25" s="1"/>
  <c r="L232" i="25"/>
  <c r="N248" i="25"/>
  <c r="O248" i="25" s="1"/>
  <c r="L248" i="25"/>
  <c r="N264" i="25"/>
  <c r="O264" i="25" s="1"/>
  <c r="L264" i="25"/>
  <c r="N280" i="25"/>
  <c r="O280" i="25" s="1"/>
  <c r="L280" i="25"/>
  <c r="L296" i="25"/>
  <c r="N296" i="25"/>
  <c r="O296" i="25" s="1"/>
  <c r="N312" i="25"/>
  <c r="O312" i="25" s="1"/>
  <c r="L312" i="25"/>
  <c r="N225" i="25"/>
  <c r="O225" i="25" s="1"/>
  <c r="L225" i="25"/>
  <c r="N241" i="25"/>
  <c r="O241" i="25" s="1"/>
  <c r="L241" i="25"/>
  <c r="N257" i="25"/>
  <c r="O257" i="25" s="1"/>
  <c r="L257" i="25"/>
  <c r="N273" i="25"/>
  <c r="O273" i="25" s="1"/>
  <c r="L273" i="25"/>
  <c r="N289" i="25"/>
  <c r="O289" i="25" s="1"/>
  <c r="L289" i="25"/>
  <c r="L305" i="25"/>
  <c r="N305" i="25"/>
  <c r="O305" i="25" s="1"/>
  <c r="N270" i="25"/>
  <c r="O270" i="25" s="1"/>
  <c r="L270" i="25"/>
  <c r="L274" i="25"/>
  <c r="N274" i="25"/>
  <c r="O274" i="25" s="1"/>
  <c r="N278" i="25"/>
  <c r="O278" i="25" s="1"/>
  <c r="L278" i="25"/>
  <c r="N266" i="25"/>
  <c r="O266" i="25" s="1"/>
  <c r="L266" i="25"/>
  <c r="N294" i="25"/>
  <c r="O294" i="25" s="1"/>
  <c r="L294" i="25"/>
  <c r="L310" i="25"/>
  <c r="N310" i="25"/>
  <c r="O310" i="25" s="1"/>
  <c r="L223" i="25"/>
  <c r="N223" i="25"/>
  <c r="O223" i="25" s="1"/>
  <c r="L239" i="25"/>
  <c r="N239" i="25"/>
  <c r="O239" i="25" s="1"/>
  <c r="L255" i="25"/>
  <c r="N255" i="25"/>
  <c r="O255" i="25" s="1"/>
  <c r="L271" i="25"/>
  <c r="N271" i="25"/>
  <c r="O271" i="25" s="1"/>
  <c r="L287" i="25"/>
  <c r="N287" i="25"/>
  <c r="O287" i="25" s="1"/>
  <c r="L303" i="25"/>
  <c r="N303" i="25"/>
  <c r="O303" i="25" s="1"/>
  <c r="N220" i="25"/>
  <c r="O220" i="25" s="1"/>
  <c r="L220" i="25"/>
  <c r="N236" i="25"/>
  <c r="O236" i="25" s="1"/>
  <c r="L236" i="25"/>
  <c r="N252" i="25"/>
  <c r="O252" i="25" s="1"/>
  <c r="L252" i="25"/>
  <c r="N268" i="25"/>
  <c r="O268" i="25" s="1"/>
  <c r="L268" i="25"/>
  <c r="N284" i="25"/>
  <c r="O284" i="25" s="1"/>
  <c r="L284" i="25"/>
  <c r="L300" i="25"/>
  <c r="N300" i="25"/>
  <c r="O300" i="25" s="1"/>
  <c r="N316" i="25"/>
  <c r="O316" i="25" s="1"/>
  <c r="L316" i="25"/>
  <c r="N229" i="25"/>
  <c r="O229" i="25" s="1"/>
  <c r="L229" i="25"/>
  <c r="N245" i="25"/>
  <c r="O245" i="25" s="1"/>
  <c r="L245" i="25"/>
  <c r="N261" i="25"/>
  <c r="O261" i="25" s="1"/>
  <c r="L261" i="25"/>
  <c r="L277" i="25"/>
  <c r="N277" i="25"/>
  <c r="O277" i="25" s="1"/>
  <c r="N293" i="25"/>
  <c r="O293" i="25" s="1"/>
  <c r="L293" i="25"/>
  <c r="L309" i="25"/>
  <c r="N309" i="25"/>
  <c r="O309" i="25" s="1"/>
  <c r="L222" i="25"/>
  <c r="N222" i="25"/>
  <c r="O222" i="25" s="1"/>
  <c r="L226" i="25"/>
  <c r="N226" i="25"/>
  <c r="O226" i="25" s="1"/>
  <c r="L230" i="25"/>
  <c r="N230" i="25"/>
  <c r="O230" i="25" s="1"/>
  <c r="L218" i="25"/>
  <c r="N218" i="25"/>
  <c r="O218" i="25" s="1"/>
  <c r="N282" i="25"/>
  <c r="O282" i="25" s="1"/>
  <c r="L282" i="25"/>
  <c r="N298" i="25"/>
  <c r="O298" i="25" s="1"/>
  <c r="L298" i="25"/>
  <c r="N314" i="25"/>
  <c r="O314" i="25" s="1"/>
  <c r="L314" i="25"/>
  <c r="N227" i="25"/>
  <c r="O227" i="25" s="1"/>
  <c r="L227" i="25"/>
  <c r="L243" i="25"/>
  <c r="N243" i="25"/>
  <c r="O243" i="25" s="1"/>
  <c r="L259" i="25"/>
  <c r="N259" i="25"/>
  <c r="O259" i="25" s="1"/>
  <c r="N275" i="25"/>
  <c r="O275" i="25" s="1"/>
  <c r="L275" i="25"/>
  <c r="L291" i="25"/>
  <c r="N291" i="25"/>
  <c r="O291" i="25" s="1"/>
  <c r="N307" i="25"/>
  <c r="O307" i="25" s="1"/>
  <c r="L307" i="25"/>
  <c r="N224" i="25"/>
  <c r="O224" i="25" s="1"/>
  <c r="L224" i="25"/>
  <c r="L240" i="25"/>
  <c r="N240" i="25"/>
  <c r="O240" i="25" s="1"/>
  <c r="L256" i="25"/>
  <c r="N256" i="25"/>
  <c r="O256" i="25" s="1"/>
  <c r="N272" i="25"/>
  <c r="O272" i="25" s="1"/>
  <c r="L272" i="25"/>
  <c r="N288" i="25"/>
  <c r="O288" i="25" s="1"/>
  <c r="L288" i="25"/>
  <c r="L304" i="25"/>
  <c r="N304" i="25"/>
  <c r="O304" i="25" s="1"/>
  <c r="N217" i="25"/>
  <c r="O217" i="25" s="1"/>
  <c r="L217" i="25"/>
  <c r="N233" i="25"/>
  <c r="O233" i="25" s="1"/>
  <c r="L233" i="25"/>
  <c r="N249" i="25"/>
  <c r="O249" i="25" s="1"/>
  <c r="L249" i="25"/>
  <c r="N265" i="25"/>
  <c r="O265" i="25" s="1"/>
  <c r="L265" i="25"/>
  <c r="N281" i="25"/>
  <c r="O281" i="25" s="1"/>
  <c r="L281" i="25"/>
  <c r="N297" i="25"/>
  <c r="O297" i="25" s="1"/>
  <c r="L297" i="25"/>
  <c r="L313" i="25"/>
  <c r="N313" i="25"/>
  <c r="O313" i="25" s="1"/>
  <c r="F314" i="25"/>
  <c r="F310" i="25"/>
  <c r="F306" i="25"/>
  <c r="F304" i="25"/>
  <c r="F303" i="25"/>
  <c r="F302" i="25"/>
  <c r="F301" i="25"/>
  <c r="F315" i="25"/>
  <c r="F311" i="25"/>
  <c r="F307" i="25"/>
  <c r="F305" i="25"/>
  <c r="F300" i="25"/>
  <c r="F296" i="25"/>
  <c r="F292" i="25"/>
  <c r="F288" i="25"/>
  <c r="F284" i="25"/>
  <c r="F313" i="25"/>
  <c r="F312" i="25"/>
  <c r="F297" i="25"/>
  <c r="F293" i="25"/>
  <c r="F289" i="25"/>
  <c r="F285" i="25"/>
  <c r="F281" i="25"/>
  <c r="F279" i="25"/>
  <c r="F275" i="25"/>
  <c r="F271" i="25"/>
  <c r="F316" i="25"/>
  <c r="F309" i="25"/>
  <c r="F280" i="25"/>
  <c r="F276" i="25"/>
  <c r="F272" i="25"/>
  <c r="F294" i="25"/>
  <c r="F286" i="25"/>
  <c r="F265" i="25"/>
  <c r="F261" i="25"/>
  <c r="F257" i="25"/>
  <c r="F253" i="25"/>
  <c r="F249" i="25"/>
  <c r="F245" i="25"/>
  <c r="F241" i="25"/>
  <c r="F237" i="25"/>
  <c r="F233" i="25"/>
  <c r="F208" i="25"/>
  <c r="F204" i="25"/>
  <c r="F200" i="25"/>
  <c r="F299" i="25"/>
  <c r="F291" i="25"/>
  <c r="F283" i="25"/>
  <c r="F266" i="25"/>
  <c r="F262" i="25"/>
  <c r="F258" i="25"/>
  <c r="F254" i="25"/>
  <c r="F250" i="25"/>
  <c r="F246" i="25"/>
  <c r="F242" i="25"/>
  <c r="F238" i="25"/>
  <c r="F234" i="25"/>
  <c r="F207" i="25"/>
  <c r="F203" i="25"/>
  <c r="F308" i="25"/>
  <c r="F298" i="25"/>
  <c r="F282" i="25"/>
  <c r="F228" i="25"/>
  <c r="F224" i="25"/>
  <c r="F220" i="25"/>
  <c r="F210" i="25"/>
  <c r="F209" i="25"/>
  <c r="F206" i="25"/>
  <c r="F205" i="25"/>
  <c r="F202" i="25"/>
  <c r="F201" i="25"/>
  <c r="F199" i="25"/>
  <c r="F195" i="25"/>
  <c r="F191" i="25"/>
  <c r="F187" i="25"/>
  <c r="F183" i="25"/>
  <c r="F179" i="25"/>
  <c r="F175" i="25"/>
  <c r="F171" i="25"/>
  <c r="F167" i="25"/>
  <c r="F163" i="25"/>
  <c r="F159" i="25"/>
  <c r="F155" i="25"/>
  <c r="F151" i="25"/>
  <c r="F147" i="25"/>
  <c r="F143" i="25"/>
  <c r="F139" i="25"/>
  <c r="F135" i="25"/>
  <c r="F131" i="25"/>
  <c r="F287" i="25"/>
  <c r="F278" i="25"/>
  <c r="F274" i="25"/>
  <c r="F270" i="25"/>
  <c r="F268" i="25"/>
  <c r="F267" i="25"/>
  <c r="F264" i="25"/>
  <c r="F263" i="25"/>
  <c r="F260" i="25"/>
  <c r="F259" i="25"/>
  <c r="F256" i="25"/>
  <c r="F255" i="25"/>
  <c r="F252" i="25"/>
  <c r="F251" i="25"/>
  <c r="F248" i="25"/>
  <c r="F247" i="25"/>
  <c r="F244" i="25"/>
  <c r="F243" i="25"/>
  <c r="F240" i="25"/>
  <c r="F239" i="25"/>
  <c r="F236" i="25"/>
  <c r="F235" i="25"/>
  <c r="F232" i="25"/>
  <c r="F229" i="25"/>
  <c r="F225" i="25"/>
  <c r="F221" i="25"/>
  <c r="F217" i="25"/>
  <c r="F198" i="25"/>
  <c r="F194" i="25"/>
  <c r="F190" i="25"/>
  <c r="F186" i="25"/>
  <c r="F182" i="25"/>
  <c r="F178" i="25"/>
  <c r="F174" i="25"/>
  <c r="F170" i="25"/>
  <c r="F166" i="25"/>
  <c r="F162" i="25"/>
  <c r="F158" i="25"/>
  <c r="F154" i="25"/>
  <c r="F150" i="25"/>
  <c r="F146" i="25"/>
  <c r="F142" i="25"/>
  <c r="F138" i="25"/>
  <c r="F134" i="25"/>
  <c r="F130" i="25"/>
  <c r="F197" i="25"/>
  <c r="F196" i="25"/>
  <c r="F193" i="25"/>
  <c r="F192" i="25"/>
  <c r="F189" i="25"/>
  <c r="F188" i="25"/>
  <c r="F185" i="25"/>
  <c r="F184" i="25"/>
  <c r="F181" i="25"/>
  <c r="F180" i="25"/>
  <c r="F177" i="25"/>
  <c r="F176" i="25"/>
  <c r="F173" i="25"/>
  <c r="F172" i="25"/>
  <c r="F169" i="25"/>
  <c r="F168" i="25"/>
  <c r="F165" i="25"/>
  <c r="F164" i="25"/>
  <c r="F161" i="25"/>
  <c r="F160" i="25"/>
  <c r="F157" i="25"/>
  <c r="F156" i="25"/>
  <c r="F153" i="25"/>
  <c r="F152" i="25"/>
  <c r="F149" i="25"/>
  <c r="F148" i="25"/>
  <c r="F145" i="25"/>
  <c r="F144" i="25"/>
  <c r="F141" i="25"/>
  <c r="F140" i="25"/>
  <c r="F137" i="25"/>
  <c r="F136" i="25"/>
  <c r="F133" i="25"/>
  <c r="F132" i="25"/>
  <c r="F129" i="25"/>
  <c r="F128" i="25"/>
  <c r="F127" i="25"/>
  <c r="F123" i="25"/>
  <c r="F119" i="25"/>
  <c r="F115" i="25"/>
  <c r="F111" i="25"/>
  <c r="F105" i="25"/>
  <c r="BL105" i="25" s="1"/>
  <c r="F104" i="25"/>
  <c r="BL104" i="25" s="1"/>
  <c r="F103" i="25"/>
  <c r="BL103" i="25" s="1"/>
  <c r="F102" i="25"/>
  <c r="BL102" i="25" s="1"/>
  <c r="F101" i="25"/>
  <c r="BL101" i="25" s="1"/>
  <c r="F100" i="25"/>
  <c r="BL100" i="25" s="1"/>
  <c r="F99" i="25"/>
  <c r="BL99" i="25" s="1"/>
  <c r="F98" i="25"/>
  <c r="BL98" i="25" s="1"/>
  <c r="F97" i="25"/>
  <c r="BL97" i="25" s="1"/>
  <c r="F96" i="25"/>
  <c r="BL96" i="25" s="1"/>
  <c r="F95" i="25"/>
  <c r="BL95" i="25" s="1"/>
  <c r="F94" i="25"/>
  <c r="BL94" i="25" s="1"/>
  <c r="F93" i="25"/>
  <c r="BL93" i="25" s="1"/>
  <c r="F92" i="25"/>
  <c r="BL92" i="25" s="1"/>
  <c r="F91" i="25"/>
  <c r="BL91" i="25" s="1"/>
  <c r="F290" i="25"/>
  <c r="F277" i="25"/>
  <c r="F273" i="25"/>
  <c r="F269" i="25"/>
  <c r="F231" i="25"/>
  <c r="F230" i="25"/>
  <c r="F227" i="25"/>
  <c r="F226" i="25"/>
  <c r="F223" i="25"/>
  <c r="F222" i="25"/>
  <c r="F219" i="25"/>
  <c r="F218" i="25"/>
  <c r="F126" i="25"/>
  <c r="F122" i="25"/>
  <c r="F118" i="25"/>
  <c r="F114" i="25"/>
  <c r="F295" i="25"/>
  <c r="F87" i="25"/>
  <c r="BL87" i="25" s="1"/>
  <c r="F83" i="25"/>
  <c r="BL83" i="25" s="1"/>
  <c r="F79" i="25"/>
  <c r="BL79" i="25" s="1"/>
  <c r="F75" i="25"/>
  <c r="BL75" i="25" s="1"/>
  <c r="F71" i="25"/>
  <c r="BL71" i="25" s="1"/>
  <c r="F67" i="25"/>
  <c r="BL67" i="25" s="1"/>
  <c r="F63" i="25"/>
  <c r="BL63" i="25" s="1"/>
  <c r="F59" i="25"/>
  <c r="BL59" i="25" s="1"/>
  <c r="F55" i="25"/>
  <c r="BL55" i="25" s="1"/>
  <c r="F51" i="25"/>
  <c r="BL51" i="25" s="1"/>
  <c r="F47" i="25"/>
  <c r="BL47" i="25" s="1"/>
  <c r="F43" i="25"/>
  <c r="BL43" i="25" s="1"/>
  <c r="F39" i="25"/>
  <c r="BL39" i="25" s="1"/>
  <c r="F31" i="25"/>
  <c r="BL31" i="25" s="1"/>
  <c r="F27" i="25"/>
  <c r="BL27" i="25" s="1"/>
  <c r="F23" i="25"/>
  <c r="BL23" i="25" s="1"/>
  <c r="F19" i="25"/>
  <c r="BL19" i="25" s="1"/>
  <c r="F15" i="25"/>
  <c r="BL15" i="25" s="1"/>
  <c r="F125" i="25"/>
  <c r="F117" i="25"/>
  <c r="F113" i="25"/>
  <c r="F85" i="25"/>
  <c r="BL85" i="25" s="1"/>
  <c r="F77" i="25"/>
  <c r="BL77" i="25" s="1"/>
  <c r="F73" i="25"/>
  <c r="BL73" i="25" s="1"/>
  <c r="F65" i="25"/>
  <c r="BL65" i="25" s="1"/>
  <c r="F61" i="25"/>
  <c r="BL61" i="25" s="1"/>
  <c r="F57" i="25"/>
  <c r="BL57" i="25" s="1"/>
  <c r="F49" i="25"/>
  <c r="BL49" i="25" s="1"/>
  <c r="F33" i="25"/>
  <c r="BL33" i="25" s="1"/>
  <c r="F29" i="25"/>
  <c r="BL29" i="25" s="1"/>
  <c r="F25" i="25"/>
  <c r="BL25" i="25" s="1"/>
  <c r="F17" i="25"/>
  <c r="BL17" i="25" s="1"/>
  <c r="F13" i="25"/>
  <c r="BL13" i="25" s="1"/>
  <c r="F11" i="25"/>
  <c r="BL11" i="25" s="1"/>
  <c r="F10" i="25"/>
  <c r="BL10" i="25" s="1"/>
  <c r="F9" i="25"/>
  <c r="BL9" i="25" s="1"/>
  <c r="F8" i="25"/>
  <c r="BL8" i="25" s="1"/>
  <c r="F124" i="25"/>
  <c r="F120" i="25"/>
  <c r="F116" i="25"/>
  <c r="F112" i="25"/>
  <c r="F90" i="25"/>
  <c r="BL90" i="25" s="1"/>
  <c r="F86" i="25"/>
  <c r="BL86" i="25" s="1"/>
  <c r="F82" i="25"/>
  <c r="BL82" i="25" s="1"/>
  <c r="F78" i="25"/>
  <c r="BL78" i="25" s="1"/>
  <c r="F74" i="25"/>
  <c r="BL74" i="25" s="1"/>
  <c r="F70" i="25"/>
  <c r="BL70" i="25" s="1"/>
  <c r="F66" i="25"/>
  <c r="BL66" i="25" s="1"/>
  <c r="F62" i="25"/>
  <c r="BL62" i="25" s="1"/>
  <c r="F54" i="25"/>
  <c r="BL54" i="25" s="1"/>
  <c r="F88" i="25"/>
  <c r="BL88" i="25" s="1"/>
  <c r="F84" i="25"/>
  <c r="BL84" i="25" s="1"/>
  <c r="F80" i="25"/>
  <c r="BL80" i="25" s="1"/>
  <c r="F76" i="25"/>
  <c r="BL76" i="25" s="1"/>
  <c r="F72" i="25"/>
  <c r="BL72" i="25" s="1"/>
  <c r="F68" i="25"/>
  <c r="BL68" i="25" s="1"/>
  <c r="F64" i="25"/>
  <c r="BL64" i="25" s="1"/>
  <c r="F60" i="25"/>
  <c r="BL60" i="25" s="1"/>
  <c r="F56" i="25"/>
  <c r="BL56" i="25" s="1"/>
  <c r="F52" i="25"/>
  <c r="BL52" i="25" s="1"/>
  <c r="F48" i="25"/>
  <c r="BL48" i="25" s="1"/>
  <c r="F44" i="25"/>
  <c r="BL44" i="25" s="1"/>
  <c r="F40" i="25"/>
  <c r="BL40" i="25" s="1"/>
  <c r="F32" i="25"/>
  <c r="BL32" i="25" s="1"/>
  <c r="F28" i="25"/>
  <c r="BL28" i="25" s="1"/>
  <c r="F24" i="25"/>
  <c r="BL24" i="25" s="1"/>
  <c r="F20" i="25"/>
  <c r="BL20" i="25" s="1"/>
  <c r="F16" i="25"/>
  <c r="BL16" i="25" s="1"/>
  <c r="F12" i="25"/>
  <c r="BL12" i="25" s="1"/>
  <c r="F121" i="25"/>
  <c r="F89" i="25"/>
  <c r="BL89" i="25" s="1"/>
  <c r="F81" i="25"/>
  <c r="BL81" i="25" s="1"/>
  <c r="F69" i="25"/>
  <c r="BL69" i="25" s="1"/>
  <c r="F53" i="25"/>
  <c r="BL53" i="25" s="1"/>
  <c r="F45" i="25"/>
  <c r="BL45" i="25" s="1"/>
  <c r="F41" i="25"/>
  <c r="BL41" i="25" s="1"/>
  <c r="F21" i="25"/>
  <c r="BL21" i="25" s="1"/>
  <c r="F58" i="25"/>
  <c r="BL58" i="25" s="1"/>
  <c r="F50" i="25"/>
  <c r="BL50" i="25" s="1"/>
  <c r="F46" i="25"/>
  <c r="BL46" i="25" s="1"/>
  <c r="F42" i="25"/>
  <c r="BL42" i="25" s="1"/>
  <c r="F38" i="25"/>
  <c r="BL38" i="25" s="1"/>
  <c r="F37" i="25"/>
  <c r="BL37" i="25" s="1"/>
  <c r="F36" i="25"/>
  <c r="BL36" i="25" s="1"/>
  <c r="F35" i="25"/>
  <c r="BL35" i="25" s="1"/>
  <c r="F34" i="25"/>
  <c r="BL34" i="25" s="1"/>
  <c r="F30" i="25"/>
  <c r="BL30" i="25" s="1"/>
  <c r="F26" i="25"/>
  <c r="BL26" i="25" s="1"/>
  <c r="F22" i="25"/>
  <c r="BL22" i="25" s="1"/>
  <c r="F18" i="25"/>
  <c r="BL18" i="25" s="1"/>
  <c r="F14" i="25"/>
  <c r="BL14" i="25" s="1"/>
  <c r="B93" i="2"/>
  <c r="M180" i="24"/>
  <c r="N180" i="24" s="1"/>
  <c r="K128" i="24"/>
  <c r="K115" i="24"/>
  <c r="B34" i="2"/>
  <c r="B36" i="2" s="1"/>
  <c r="B22" i="2"/>
  <c r="P110" i="25" s="1"/>
  <c r="M144" i="24"/>
  <c r="N144" i="24" s="1"/>
  <c r="M113" i="24"/>
  <c r="N113" i="24" s="1"/>
  <c r="K116" i="24"/>
  <c r="K179" i="24"/>
  <c r="M200" i="24"/>
  <c r="N200" i="24" s="1"/>
  <c r="M146" i="24"/>
  <c r="N146" i="24" s="1"/>
  <c r="K188" i="24"/>
  <c r="M193" i="24"/>
  <c r="N193" i="24" s="1"/>
  <c r="K161" i="24"/>
  <c r="M129" i="24"/>
  <c r="N129" i="24" s="1"/>
  <c r="M191" i="24"/>
  <c r="N191" i="24" s="1"/>
  <c r="K187" i="24"/>
  <c r="M126" i="24"/>
  <c r="N126" i="24" s="1"/>
  <c r="K167" i="24"/>
  <c r="M209" i="24"/>
  <c r="N209" i="24" s="1"/>
  <c r="K208" i="24"/>
  <c r="K210" i="24"/>
  <c r="M166" i="24"/>
  <c r="N166" i="24" s="1"/>
  <c r="M120" i="24"/>
  <c r="N120" i="24" s="1"/>
  <c r="K177" i="24"/>
  <c r="M158" i="24"/>
  <c r="N158" i="24" s="1"/>
  <c r="K170" i="24"/>
  <c r="K148" i="24"/>
  <c r="K145" i="24"/>
  <c r="M135" i="24"/>
  <c r="N135" i="24" s="1"/>
  <c r="F17" i="23"/>
  <c r="J17" i="23" s="1"/>
  <c r="M176" i="24"/>
  <c r="N176" i="24" s="1"/>
  <c r="M156" i="24"/>
  <c r="N156" i="24" s="1"/>
  <c r="M118" i="24"/>
  <c r="N118" i="24" s="1"/>
  <c r="K137" i="24"/>
  <c r="M132" i="24"/>
  <c r="N132" i="24" s="1"/>
  <c r="K136" i="24"/>
  <c r="K201" i="24"/>
  <c r="I33" i="23"/>
  <c r="M114" i="24"/>
  <c r="N114" i="24" s="1"/>
  <c r="K194" i="24"/>
  <c r="K206" i="24"/>
  <c r="K163" i="24"/>
  <c r="F54" i="23"/>
  <c r="J54" i="23" s="1"/>
  <c r="M130" i="24"/>
  <c r="N130" i="24" s="1"/>
  <c r="K192" i="24"/>
  <c r="K199" i="24"/>
  <c r="K196" i="24"/>
  <c r="M151" i="24"/>
  <c r="N151" i="24" s="1"/>
  <c r="K172" i="24"/>
  <c r="K123" i="24"/>
  <c r="M175" i="24"/>
  <c r="N175" i="24" s="1"/>
  <c r="K165" i="24"/>
  <c r="K181" i="24"/>
  <c r="K154" i="24"/>
  <c r="M117" i="24"/>
  <c r="N117" i="24" s="1"/>
  <c r="M124" i="24"/>
  <c r="N124" i="24" s="1"/>
  <c r="K142" i="24"/>
  <c r="I9" i="23"/>
  <c r="I70" i="23"/>
  <c r="M168" i="24"/>
  <c r="N168" i="24" s="1"/>
  <c r="M197" i="24"/>
  <c r="N197" i="24" s="1"/>
  <c r="K134" i="24"/>
  <c r="K182" i="24"/>
  <c r="F32" i="23"/>
  <c r="J32" i="23" s="1"/>
  <c r="F49" i="23"/>
  <c r="G49" i="23" s="1"/>
  <c r="H49" i="23" s="1"/>
  <c r="M153" i="24"/>
  <c r="N153" i="24" s="1"/>
  <c r="K131" i="24"/>
  <c r="M178" i="24"/>
  <c r="N178" i="24" s="1"/>
  <c r="K125" i="24"/>
  <c r="M202" i="24"/>
  <c r="N202" i="24" s="1"/>
  <c r="F103" i="23"/>
  <c r="G103" i="23" s="1"/>
  <c r="H103" i="23" s="1"/>
  <c r="F53" i="23"/>
  <c r="J53" i="23" s="1"/>
  <c r="K169" i="24"/>
  <c r="M198" i="24"/>
  <c r="N198" i="24" s="1"/>
  <c r="K150" i="24"/>
  <c r="K119" i="24"/>
  <c r="K110" i="24"/>
  <c r="K152" i="24"/>
  <c r="I16" i="23"/>
  <c r="F46" i="23"/>
  <c r="J46" i="23" s="1"/>
  <c r="I43" i="23"/>
  <c r="I36" i="23"/>
  <c r="F67" i="23"/>
  <c r="G67" i="23" s="1"/>
  <c r="H67" i="23" s="1"/>
  <c r="K155" i="24"/>
  <c r="K159" i="24"/>
  <c r="M127" i="24"/>
  <c r="N127" i="24" s="1"/>
  <c r="M121" i="24"/>
  <c r="N121" i="24" s="1"/>
  <c r="M147" i="24"/>
  <c r="N147" i="24" s="1"/>
  <c r="M190" i="24"/>
  <c r="N190" i="24" s="1"/>
  <c r="M173" i="24"/>
  <c r="N173" i="24" s="1"/>
  <c r="M164" i="24"/>
  <c r="N164" i="24" s="1"/>
  <c r="K162" i="24"/>
  <c r="I59" i="23"/>
  <c r="F30" i="23"/>
  <c r="J30" i="23" s="1"/>
  <c r="F88" i="23"/>
  <c r="G88" i="23" s="1"/>
  <c r="H88" i="23" s="1"/>
  <c r="I78" i="23"/>
  <c r="K122" i="24"/>
  <c r="M185" i="24"/>
  <c r="N185" i="24" s="1"/>
  <c r="M140" i="24"/>
  <c r="N140" i="24" s="1"/>
  <c r="M189" i="24"/>
  <c r="N189" i="24" s="1"/>
  <c r="I27" i="23"/>
  <c r="I75" i="23"/>
  <c r="F73" i="23"/>
  <c r="J73" i="23" s="1"/>
  <c r="F71" i="23"/>
  <c r="J71" i="23" s="1"/>
  <c r="I48" i="23"/>
  <c r="F84" i="23"/>
  <c r="G84" i="23" s="1"/>
  <c r="H84" i="23" s="1"/>
  <c r="F6" i="23"/>
  <c r="J6" i="23" s="1"/>
  <c r="F25" i="23"/>
  <c r="J25" i="23" s="1"/>
  <c r="I23" i="23"/>
  <c r="F60" i="23"/>
  <c r="G60" i="23" s="1"/>
  <c r="H60" i="23" s="1"/>
  <c r="I38" i="23"/>
  <c r="I62" i="23"/>
  <c r="K149" i="24"/>
  <c r="M111" i="24"/>
  <c r="N111" i="24" s="1"/>
  <c r="M138" i="24"/>
  <c r="N138" i="24" s="1"/>
  <c r="K112" i="24"/>
  <c r="K207" i="24"/>
  <c r="M171" i="24"/>
  <c r="N171" i="24" s="1"/>
  <c r="K157" i="24"/>
  <c r="M184" i="24"/>
  <c r="N184" i="24" s="1"/>
  <c r="K203" i="24"/>
  <c r="M133" i="24"/>
  <c r="N133" i="24" s="1"/>
  <c r="M143" i="24"/>
  <c r="N143" i="24" s="1"/>
  <c r="F105" i="23"/>
  <c r="J105" i="23" s="1"/>
  <c r="F94" i="23"/>
  <c r="J94" i="23" s="1"/>
  <c r="I41" i="23"/>
  <c r="F92" i="23"/>
  <c r="J92" i="23" s="1"/>
  <c r="M204" i="24"/>
  <c r="N204" i="24" s="1"/>
  <c r="M139" i="24"/>
  <c r="N139" i="24" s="1"/>
  <c r="M174" i="24"/>
  <c r="N174" i="24" s="1"/>
  <c r="M160" i="24"/>
  <c r="N160" i="24" s="1"/>
  <c r="K205" i="24"/>
  <c r="M195" i="24"/>
  <c r="N195" i="24" s="1"/>
  <c r="M141" i="24"/>
  <c r="N141" i="24" s="1"/>
  <c r="A226" i="2"/>
  <c r="C226" i="2"/>
  <c r="I11" i="23"/>
  <c r="F101" i="23"/>
  <c r="J101" i="23" s="1"/>
  <c r="F20" i="23"/>
  <c r="G20" i="23" s="1"/>
  <c r="H20" i="23" s="1"/>
  <c r="F81" i="23"/>
  <c r="J81" i="23" s="1"/>
  <c r="F14" i="23"/>
  <c r="J14" i="23" s="1"/>
  <c r="F22" i="23"/>
  <c r="J22" i="23" s="1"/>
  <c r="F63" i="23"/>
  <c r="G63" i="23" s="1"/>
  <c r="H63" i="23" s="1"/>
  <c r="K186" i="24"/>
  <c r="K183" i="24"/>
  <c r="F219" i="24"/>
  <c r="F223" i="24"/>
  <c r="F227" i="24"/>
  <c r="F231" i="24"/>
  <c r="F235" i="24"/>
  <c r="F239" i="24"/>
  <c r="F243" i="24"/>
  <c r="F247" i="24"/>
  <c r="F251" i="24"/>
  <c r="F255" i="24"/>
  <c r="F259" i="24"/>
  <c r="F263" i="24"/>
  <c r="F267" i="24"/>
  <c r="F271" i="24"/>
  <c r="F275" i="24"/>
  <c r="F279" i="24"/>
  <c r="F283" i="24"/>
  <c r="F287" i="24"/>
  <c r="F291" i="24"/>
  <c r="F295" i="24"/>
  <c r="F299" i="24"/>
  <c r="F303" i="24"/>
  <c r="F307" i="24"/>
  <c r="F311" i="24"/>
  <c r="F315" i="24"/>
  <c r="F132" i="24"/>
  <c r="F136" i="24"/>
  <c r="F140" i="24"/>
  <c r="F144" i="24"/>
  <c r="F148" i="24"/>
  <c r="F152" i="24"/>
  <c r="F156" i="24"/>
  <c r="F160" i="24"/>
  <c r="F164" i="24"/>
  <c r="F168" i="24"/>
  <c r="F172" i="24"/>
  <c r="F176" i="24"/>
  <c r="F180" i="24"/>
  <c r="F184" i="24"/>
  <c r="F188" i="24"/>
  <c r="F192" i="24"/>
  <c r="F196" i="24"/>
  <c r="F200" i="24"/>
  <c r="F204" i="24"/>
  <c r="F208" i="24"/>
  <c r="F114" i="24"/>
  <c r="F118" i="24"/>
  <c r="F122" i="24"/>
  <c r="F126" i="24"/>
  <c r="F130" i="24"/>
  <c r="F157" i="24"/>
  <c r="F161" i="24"/>
  <c r="F169" i="24"/>
  <c r="F177" i="24"/>
  <c r="F181" i="24"/>
  <c r="F189" i="24"/>
  <c r="F193" i="24"/>
  <c r="F201" i="24"/>
  <c r="F205" i="24"/>
  <c r="F115" i="24"/>
  <c r="F119" i="24"/>
  <c r="F127" i="24"/>
  <c r="F112" i="24"/>
  <c r="F194" i="24"/>
  <c r="F206" i="24"/>
  <c r="F210" i="24"/>
  <c r="F124" i="24"/>
  <c r="F128" i="24"/>
  <c r="F222" i="24"/>
  <c r="F234" i="24"/>
  <c r="F246" i="24"/>
  <c r="F258" i="24"/>
  <c r="F270" i="24"/>
  <c r="F274" i="24"/>
  <c r="F286" i="24"/>
  <c r="F298" i="24"/>
  <c r="F302" i="24"/>
  <c r="F314" i="24"/>
  <c r="F217" i="24"/>
  <c r="F135" i="24"/>
  <c r="F143" i="24"/>
  <c r="F151" i="24"/>
  <c r="F159" i="24"/>
  <c r="F171" i="24"/>
  <c r="F175" i="24"/>
  <c r="F220" i="24"/>
  <c r="F224" i="24"/>
  <c r="F228" i="24"/>
  <c r="F232" i="24"/>
  <c r="F236" i="24"/>
  <c r="F240" i="24"/>
  <c r="F244" i="24"/>
  <c r="F248" i="24"/>
  <c r="F252" i="24"/>
  <c r="F256" i="24"/>
  <c r="F260" i="24"/>
  <c r="F264" i="24"/>
  <c r="F268" i="24"/>
  <c r="F272" i="24"/>
  <c r="F276" i="24"/>
  <c r="F280" i="24"/>
  <c r="F284" i="24"/>
  <c r="F288" i="24"/>
  <c r="F292" i="24"/>
  <c r="F296" i="24"/>
  <c r="F300" i="24"/>
  <c r="F304" i="24"/>
  <c r="F308" i="24"/>
  <c r="F312" i="24"/>
  <c r="F316" i="24"/>
  <c r="F133" i="24"/>
  <c r="F137" i="24"/>
  <c r="F141" i="24"/>
  <c r="F145" i="24"/>
  <c r="F149" i="24"/>
  <c r="F153" i="24"/>
  <c r="F165" i="24"/>
  <c r="F173" i="24"/>
  <c r="F185" i="24"/>
  <c r="F197" i="24"/>
  <c r="F209" i="24"/>
  <c r="F123" i="24"/>
  <c r="F190" i="24"/>
  <c r="F198" i="24"/>
  <c r="F116" i="24"/>
  <c r="F230" i="24"/>
  <c r="F238" i="24"/>
  <c r="F254" i="24"/>
  <c r="F266" i="24"/>
  <c r="F278" i="24"/>
  <c r="F290" i="24"/>
  <c r="F306" i="24"/>
  <c r="F139" i="24"/>
  <c r="F155" i="24"/>
  <c r="F167" i="24"/>
  <c r="F183" i="24"/>
  <c r="F221" i="24"/>
  <c r="F225" i="24"/>
  <c r="F229" i="24"/>
  <c r="F233" i="24"/>
  <c r="F237" i="24"/>
  <c r="F241" i="24"/>
  <c r="F245" i="24"/>
  <c r="F249" i="24"/>
  <c r="F253" i="24"/>
  <c r="F257" i="24"/>
  <c r="F261" i="24"/>
  <c r="F265" i="24"/>
  <c r="F269" i="24"/>
  <c r="F273" i="24"/>
  <c r="F277" i="24"/>
  <c r="F281" i="24"/>
  <c r="F285" i="24"/>
  <c r="F289" i="24"/>
  <c r="F293" i="24"/>
  <c r="F297" i="24"/>
  <c r="F301" i="24"/>
  <c r="F305" i="24"/>
  <c r="F309" i="24"/>
  <c r="F313" i="24"/>
  <c r="F218" i="24"/>
  <c r="F134" i="24"/>
  <c r="F138" i="24"/>
  <c r="F142" i="24"/>
  <c r="F146" i="24"/>
  <c r="F150" i="24"/>
  <c r="F154" i="24"/>
  <c r="F158" i="24"/>
  <c r="F162" i="24"/>
  <c r="F166" i="24"/>
  <c r="F170" i="24"/>
  <c r="F174" i="24"/>
  <c r="F178" i="24"/>
  <c r="F182" i="24"/>
  <c r="F186" i="24"/>
  <c r="F202" i="24"/>
  <c r="F120" i="24"/>
  <c r="F111" i="24"/>
  <c r="F226" i="24"/>
  <c r="F242" i="24"/>
  <c r="F250" i="24"/>
  <c r="F262" i="24"/>
  <c r="F282" i="24"/>
  <c r="F294" i="24"/>
  <c r="F310" i="24"/>
  <c r="F131" i="24"/>
  <c r="F147" i="24"/>
  <c r="F163" i="24"/>
  <c r="F179" i="24"/>
  <c r="F191" i="24"/>
  <c r="F207" i="24"/>
  <c r="F125" i="24"/>
  <c r="F129" i="24"/>
  <c r="F121" i="24"/>
  <c r="F195" i="24"/>
  <c r="F113" i="24"/>
  <c r="F203" i="24"/>
  <c r="F199" i="24"/>
  <c r="F117" i="24"/>
  <c r="F187" i="24"/>
  <c r="I99" i="23"/>
  <c r="F80" i="23"/>
  <c r="J80" i="23" s="1"/>
  <c r="I31" i="23"/>
  <c r="I96" i="23"/>
  <c r="F77" i="23"/>
  <c r="G77" i="23" s="1"/>
  <c r="H77" i="23" s="1"/>
  <c r="I56" i="23"/>
  <c r="I86" i="23"/>
  <c r="K312" i="24"/>
  <c r="M312" i="24"/>
  <c r="N312" i="24" s="1"/>
  <c r="K276" i="24"/>
  <c r="M276" i="24"/>
  <c r="N276" i="24" s="1"/>
  <c r="K244" i="24"/>
  <c r="M244" i="24"/>
  <c r="N244" i="24" s="1"/>
  <c r="M315" i="24"/>
  <c r="N315" i="24" s="1"/>
  <c r="K315" i="24"/>
  <c r="M279" i="24"/>
  <c r="N279" i="24" s="1"/>
  <c r="Q279" i="24" s="1"/>
  <c r="K279" i="24"/>
  <c r="K247" i="24"/>
  <c r="M247" i="24"/>
  <c r="N247" i="24" s="1"/>
  <c r="M223" i="24"/>
  <c r="N223" i="24" s="1"/>
  <c r="K223" i="24"/>
  <c r="K302" i="24"/>
  <c r="M302" i="24"/>
  <c r="N302" i="24" s="1"/>
  <c r="K286" i="24"/>
  <c r="M286" i="24"/>
  <c r="N286" i="24" s="1"/>
  <c r="M270" i="24"/>
  <c r="N270" i="24" s="1"/>
  <c r="K270" i="24"/>
  <c r="M254" i="24"/>
  <c r="N254" i="24" s="1"/>
  <c r="K254" i="24"/>
  <c r="M238" i="24"/>
  <c r="N238" i="24" s="1"/>
  <c r="K238" i="24"/>
  <c r="K222" i="24"/>
  <c r="M222" i="24"/>
  <c r="N222" i="24" s="1"/>
  <c r="K296" i="24"/>
  <c r="M296" i="24"/>
  <c r="N296" i="24" s="1"/>
  <c r="M264" i="24"/>
  <c r="N264" i="24" s="1"/>
  <c r="K264" i="24"/>
  <c r="M232" i="24"/>
  <c r="N232" i="24" s="1"/>
  <c r="K232" i="24"/>
  <c r="M299" i="24"/>
  <c r="N299" i="24" s="1"/>
  <c r="K299" i="24"/>
  <c r="M267" i="24"/>
  <c r="N267" i="24" s="1"/>
  <c r="K267" i="24"/>
  <c r="K235" i="24"/>
  <c r="M235" i="24"/>
  <c r="N235" i="24" s="1"/>
  <c r="Q235" i="24" s="1"/>
  <c r="K309" i="24"/>
  <c r="M309" i="24"/>
  <c r="N309" i="24" s="1"/>
  <c r="Q309" i="24" s="1"/>
  <c r="K293" i="24"/>
  <c r="M293" i="24"/>
  <c r="N293" i="24" s="1"/>
  <c r="K277" i="24"/>
  <c r="M277" i="24"/>
  <c r="N277" i="24" s="1"/>
  <c r="M261" i="24"/>
  <c r="N261" i="24" s="1"/>
  <c r="K261" i="24"/>
  <c r="M245" i="24"/>
  <c r="N245" i="24" s="1"/>
  <c r="K245" i="24"/>
  <c r="M229" i="24"/>
  <c r="N229" i="24" s="1"/>
  <c r="K229" i="24"/>
  <c r="M304" i="24"/>
  <c r="N304" i="24" s="1"/>
  <c r="K304" i="24"/>
  <c r="K268" i="24"/>
  <c r="M268" i="24"/>
  <c r="N268" i="24" s="1"/>
  <c r="K236" i="24"/>
  <c r="M236" i="24"/>
  <c r="N236" i="24" s="1"/>
  <c r="M307" i="24"/>
  <c r="N307" i="24" s="1"/>
  <c r="K307" i="24"/>
  <c r="K271" i="24"/>
  <c r="M271" i="24"/>
  <c r="N271" i="24" s="1"/>
  <c r="M239" i="24"/>
  <c r="N239" i="24" s="1"/>
  <c r="K239" i="24"/>
  <c r="K314" i="24"/>
  <c r="M314" i="24"/>
  <c r="N314" i="24" s="1"/>
  <c r="K298" i="24"/>
  <c r="M298" i="24"/>
  <c r="N298" i="24" s="1"/>
  <c r="K282" i="24"/>
  <c r="M282" i="24"/>
  <c r="N282" i="24" s="1"/>
  <c r="M266" i="24"/>
  <c r="N266" i="24" s="1"/>
  <c r="K266" i="24"/>
  <c r="K250" i="24"/>
  <c r="M250" i="24"/>
  <c r="N250" i="24" s="1"/>
  <c r="K234" i="24"/>
  <c r="M234" i="24"/>
  <c r="N234" i="24" s="1"/>
  <c r="M218" i="24"/>
  <c r="N218" i="24" s="1"/>
  <c r="K218" i="24"/>
  <c r="M288" i="24"/>
  <c r="N288" i="24" s="1"/>
  <c r="K288" i="24"/>
  <c r="K256" i="24"/>
  <c r="M256" i="24"/>
  <c r="N256" i="24" s="1"/>
  <c r="Q256" i="24" s="1"/>
  <c r="K224" i="24"/>
  <c r="M224" i="24"/>
  <c r="N224" i="24" s="1"/>
  <c r="K291" i="24"/>
  <c r="M291" i="24"/>
  <c r="N291" i="24" s="1"/>
  <c r="Q291" i="24" s="1"/>
  <c r="M259" i="24"/>
  <c r="N259" i="24" s="1"/>
  <c r="K259" i="24"/>
  <c r="K219" i="24"/>
  <c r="M219" i="24"/>
  <c r="N219" i="24" s="1"/>
  <c r="K305" i="24"/>
  <c r="M305" i="24"/>
  <c r="N305" i="24" s="1"/>
  <c r="M289" i="24"/>
  <c r="N289" i="24" s="1"/>
  <c r="Q289" i="24" s="1"/>
  <c r="K289" i="24"/>
  <c r="K273" i="24"/>
  <c r="M273" i="24"/>
  <c r="N273" i="24" s="1"/>
  <c r="M257" i="24"/>
  <c r="N257" i="24" s="1"/>
  <c r="K257" i="24"/>
  <c r="M241" i="24"/>
  <c r="N241" i="24" s="1"/>
  <c r="K241" i="24"/>
  <c r="M225" i="24"/>
  <c r="N225" i="24" s="1"/>
  <c r="Q225" i="24" s="1"/>
  <c r="K225" i="24"/>
  <c r="M292" i="24"/>
  <c r="N292" i="24" s="1"/>
  <c r="K292" i="24"/>
  <c r="M260" i="24"/>
  <c r="N260" i="24" s="1"/>
  <c r="K260" i="24"/>
  <c r="M228" i="24"/>
  <c r="N228" i="24" s="1"/>
  <c r="Q228" i="24" s="1"/>
  <c r="K228" i="24"/>
  <c r="M295" i="24"/>
  <c r="N295" i="24" s="1"/>
  <c r="K295" i="24"/>
  <c r="M263" i="24"/>
  <c r="N263" i="24" s="1"/>
  <c r="Q263" i="24" s="1"/>
  <c r="K263" i="24"/>
  <c r="K231" i="24"/>
  <c r="M231" i="24"/>
  <c r="N231" i="24" s="1"/>
  <c r="K310" i="24"/>
  <c r="M310" i="24"/>
  <c r="N310" i="24" s="1"/>
  <c r="Q310" i="24" s="1"/>
  <c r="K294" i="24"/>
  <c r="M294" i="24"/>
  <c r="N294" i="24" s="1"/>
  <c r="M278" i="24"/>
  <c r="N278" i="24" s="1"/>
  <c r="K278" i="24"/>
  <c r="K262" i="24"/>
  <c r="M262" i="24"/>
  <c r="N262" i="24" s="1"/>
  <c r="K246" i="24"/>
  <c r="M246" i="24"/>
  <c r="N246" i="24" s="1"/>
  <c r="M230" i="24"/>
  <c r="N230" i="24" s="1"/>
  <c r="K230" i="24"/>
  <c r="K308" i="24"/>
  <c r="M308" i="24"/>
  <c r="N308" i="24" s="1"/>
  <c r="M280" i="24"/>
  <c r="N280" i="24" s="1"/>
  <c r="K280" i="24"/>
  <c r="K248" i="24"/>
  <c r="M248" i="24"/>
  <c r="N248" i="24" s="1"/>
  <c r="K311" i="24"/>
  <c r="M311" i="24"/>
  <c r="N311" i="24" s="1"/>
  <c r="K283" i="24"/>
  <c r="M283" i="24"/>
  <c r="N283" i="24" s="1"/>
  <c r="K251" i="24"/>
  <c r="M251" i="24"/>
  <c r="N251" i="24" s="1"/>
  <c r="K216" i="24"/>
  <c r="M216" i="24"/>
  <c r="K301" i="24"/>
  <c r="M301" i="24"/>
  <c r="N301" i="24" s="1"/>
  <c r="M285" i="24"/>
  <c r="N285" i="24" s="1"/>
  <c r="K285" i="24"/>
  <c r="K269" i="24"/>
  <c r="M269" i="24"/>
  <c r="N269" i="24" s="1"/>
  <c r="M253" i="24"/>
  <c r="N253" i="24" s="1"/>
  <c r="K253" i="24"/>
  <c r="K237" i="24"/>
  <c r="M237" i="24"/>
  <c r="N237" i="24" s="1"/>
  <c r="M221" i="24"/>
  <c r="N221" i="24" s="1"/>
  <c r="K221" i="24"/>
  <c r="I98" i="23"/>
  <c r="K316" i="24"/>
  <c r="M316" i="24"/>
  <c r="N316" i="24" s="1"/>
  <c r="K284" i="24"/>
  <c r="M284" i="24"/>
  <c r="N284" i="24" s="1"/>
  <c r="M252" i="24"/>
  <c r="N252" i="24" s="1"/>
  <c r="K252" i="24"/>
  <c r="M220" i="24"/>
  <c r="N220" i="24" s="1"/>
  <c r="K220" i="24"/>
  <c r="M287" i="24"/>
  <c r="N287" i="24" s="1"/>
  <c r="K287" i="24"/>
  <c r="K255" i="24"/>
  <c r="M255" i="24"/>
  <c r="N255" i="24" s="1"/>
  <c r="Q255" i="24" s="1"/>
  <c r="K227" i="24"/>
  <c r="M227" i="24"/>
  <c r="N227" i="24" s="1"/>
  <c r="K306" i="24"/>
  <c r="M306" i="24"/>
  <c r="N306" i="24" s="1"/>
  <c r="M290" i="24"/>
  <c r="N290" i="24" s="1"/>
  <c r="K290" i="24"/>
  <c r="K274" i="24"/>
  <c r="M274" i="24"/>
  <c r="N274" i="24" s="1"/>
  <c r="Q274" i="24" s="1"/>
  <c r="M258" i="24"/>
  <c r="N258" i="24" s="1"/>
  <c r="K258" i="24"/>
  <c r="M242" i="24"/>
  <c r="N242" i="24" s="1"/>
  <c r="K242" i="24"/>
  <c r="M226" i="24"/>
  <c r="N226" i="24" s="1"/>
  <c r="K226" i="24"/>
  <c r="K300" i="24"/>
  <c r="M300" i="24"/>
  <c r="N300" i="24" s="1"/>
  <c r="Q300" i="24" s="1"/>
  <c r="M272" i="24"/>
  <c r="N272" i="24" s="1"/>
  <c r="Q272" i="24" s="1"/>
  <c r="K272" i="24"/>
  <c r="K240" i="24"/>
  <c r="M240" i="24"/>
  <c r="N240" i="24" s="1"/>
  <c r="K303" i="24"/>
  <c r="M303" i="24"/>
  <c r="N303" i="24" s="1"/>
  <c r="K275" i="24"/>
  <c r="M275" i="24"/>
  <c r="N275" i="24" s="1"/>
  <c r="M243" i="24"/>
  <c r="N243" i="24" s="1"/>
  <c r="K243" i="24"/>
  <c r="K313" i="24"/>
  <c r="M313" i="24"/>
  <c r="N313" i="24" s="1"/>
  <c r="M297" i="24"/>
  <c r="N297" i="24" s="1"/>
  <c r="K297" i="24"/>
  <c r="M281" i="24"/>
  <c r="N281" i="24" s="1"/>
  <c r="K281" i="24"/>
  <c r="K265" i="24"/>
  <c r="M265" i="24"/>
  <c r="N265" i="24" s="1"/>
  <c r="Q265" i="24" s="1"/>
  <c r="K249" i="24"/>
  <c r="M249" i="24"/>
  <c r="N249" i="24" s="1"/>
  <c r="K233" i="24"/>
  <c r="M233" i="24"/>
  <c r="N233" i="24" s="1"/>
  <c r="K217" i="24"/>
  <c r="M217" i="24"/>
  <c r="N217" i="24" s="1"/>
  <c r="H109" i="19"/>
  <c r="H110" i="19" s="1"/>
  <c r="F6" i="24"/>
  <c r="BN6" i="24" s="1"/>
  <c r="F10" i="24"/>
  <c r="BN10" i="24" s="1"/>
  <c r="F14" i="24"/>
  <c r="BN14" i="24" s="1"/>
  <c r="F18" i="24"/>
  <c r="BN18" i="24" s="1"/>
  <c r="F22" i="24"/>
  <c r="BN22" i="24" s="1"/>
  <c r="F26" i="24"/>
  <c r="BN26" i="24" s="1"/>
  <c r="F30" i="24"/>
  <c r="BN30" i="24" s="1"/>
  <c r="F34" i="24"/>
  <c r="BN34" i="24" s="1"/>
  <c r="F38" i="24"/>
  <c r="BN38" i="24" s="1"/>
  <c r="F42" i="24"/>
  <c r="BN42" i="24" s="1"/>
  <c r="F46" i="24"/>
  <c r="BN46" i="24" s="1"/>
  <c r="F50" i="24"/>
  <c r="BN50" i="24" s="1"/>
  <c r="F54" i="24"/>
  <c r="BN54" i="24" s="1"/>
  <c r="F58" i="24"/>
  <c r="BN58" i="24" s="1"/>
  <c r="F62" i="24"/>
  <c r="BN62" i="24" s="1"/>
  <c r="F66" i="24"/>
  <c r="BN66" i="24" s="1"/>
  <c r="F70" i="24"/>
  <c r="BN70" i="24" s="1"/>
  <c r="F74" i="24"/>
  <c r="BN74" i="24" s="1"/>
  <c r="F78" i="24"/>
  <c r="BN78" i="24" s="1"/>
  <c r="F82" i="24"/>
  <c r="BN82" i="24" s="1"/>
  <c r="F86" i="24"/>
  <c r="BN86" i="24" s="1"/>
  <c r="F90" i="24"/>
  <c r="BN90" i="24" s="1"/>
  <c r="F94" i="24"/>
  <c r="BN94" i="24" s="1"/>
  <c r="F98" i="24"/>
  <c r="BN98" i="24" s="1"/>
  <c r="F102" i="24"/>
  <c r="BN102" i="24" s="1"/>
  <c r="F41" i="24"/>
  <c r="BN41" i="24" s="1"/>
  <c r="F53" i="24"/>
  <c r="BN53" i="24" s="1"/>
  <c r="F69" i="24"/>
  <c r="BN69" i="24" s="1"/>
  <c r="F81" i="24"/>
  <c r="BN81" i="24" s="1"/>
  <c r="F93" i="24"/>
  <c r="BN93" i="24" s="1"/>
  <c r="F7" i="24"/>
  <c r="BN7" i="24" s="1"/>
  <c r="F11" i="24"/>
  <c r="BN11" i="24" s="1"/>
  <c r="F15" i="24"/>
  <c r="BN15" i="24" s="1"/>
  <c r="F19" i="24"/>
  <c r="BN19" i="24" s="1"/>
  <c r="F23" i="24"/>
  <c r="BN23" i="24" s="1"/>
  <c r="F27" i="24"/>
  <c r="BN27" i="24" s="1"/>
  <c r="F31" i="24"/>
  <c r="BN31" i="24" s="1"/>
  <c r="F35" i="24"/>
  <c r="BN35" i="24" s="1"/>
  <c r="F39" i="24"/>
  <c r="BN39" i="24" s="1"/>
  <c r="F43" i="24"/>
  <c r="BN43" i="24" s="1"/>
  <c r="F47" i="24"/>
  <c r="BN47" i="24" s="1"/>
  <c r="F51" i="24"/>
  <c r="BN51" i="24" s="1"/>
  <c r="F55" i="24"/>
  <c r="BN55" i="24" s="1"/>
  <c r="F59" i="24"/>
  <c r="BN59" i="24" s="1"/>
  <c r="F63" i="24"/>
  <c r="BN63" i="24" s="1"/>
  <c r="F67" i="24"/>
  <c r="BN67" i="24" s="1"/>
  <c r="F71" i="24"/>
  <c r="BN71" i="24" s="1"/>
  <c r="F75" i="24"/>
  <c r="BN75" i="24" s="1"/>
  <c r="F79" i="24"/>
  <c r="BN79" i="24" s="1"/>
  <c r="F83" i="24"/>
  <c r="BN83" i="24" s="1"/>
  <c r="F87" i="24"/>
  <c r="BN87" i="24" s="1"/>
  <c r="F91" i="24"/>
  <c r="BN91" i="24" s="1"/>
  <c r="F95" i="24"/>
  <c r="BN95" i="24" s="1"/>
  <c r="F99" i="24"/>
  <c r="BN99" i="24" s="1"/>
  <c r="F103" i="24"/>
  <c r="BN103" i="24" s="1"/>
  <c r="F37" i="24"/>
  <c r="BN37" i="24" s="1"/>
  <c r="F61" i="24"/>
  <c r="BN61" i="24" s="1"/>
  <c r="F73" i="24"/>
  <c r="BN73" i="24" s="1"/>
  <c r="F89" i="24"/>
  <c r="BN89" i="24" s="1"/>
  <c r="F101" i="24"/>
  <c r="BN101" i="24" s="1"/>
  <c r="F8" i="24"/>
  <c r="BN8" i="24" s="1"/>
  <c r="F12" i="24"/>
  <c r="BN12" i="24" s="1"/>
  <c r="F16" i="24"/>
  <c r="BN16" i="24" s="1"/>
  <c r="F20" i="24"/>
  <c r="BN20" i="24" s="1"/>
  <c r="F24" i="24"/>
  <c r="BN24" i="24" s="1"/>
  <c r="F28" i="24"/>
  <c r="BN28" i="24" s="1"/>
  <c r="F32" i="24"/>
  <c r="BN32" i="24" s="1"/>
  <c r="F36" i="24"/>
  <c r="BN36" i="24" s="1"/>
  <c r="F40" i="24"/>
  <c r="BN40" i="24" s="1"/>
  <c r="F44" i="24"/>
  <c r="BN44" i="24" s="1"/>
  <c r="F48" i="24"/>
  <c r="BN48" i="24" s="1"/>
  <c r="F52" i="24"/>
  <c r="BN52" i="24" s="1"/>
  <c r="F56" i="24"/>
  <c r="BN56" i="24" s="1"/>
  <c r="F60" i="24"/>
  <c r="BN60" i="24" s="1"/>
  <c r="F64" i="24"/>
  <c r="BN64" i="24" s="1"/>
  <c r="F68" i="24"/>
  <c r="BN68" i="24" s="1"/>
  <c r="F72" i="24"/>
  <c r="BN72" i="24" s="1"/>
  <c r="F76" i="24"/>
  <c r="BN76" i="24" s="1"/>
  <c r="F80" i="24"/>
  <c r="BN80" i="24" s="1"/>
  <c r="F84" i="24"/>
  <c r="BN84" i="24" s="1"/>
  <c r="F88" i="24"/>
  <c r="BN88" i="24" s="1"/>
  <c r="F92" i="24"/>
  <c r="BN92" i="24" s="1"/>
  <c r="F96" i="24"/>
  <c r="BN96" i="24" s="1"/>
  <c r="F100" i="24"/>
  <c r="BN100" i="24" s="1"/>
  <c r="F104" i="24"/>
  <c r="BN104" i="24" s="1"/>
  <c r="F9" i="24"/>
  <c r="BN9" i="24" s="1"/>
  <c r="F13" i="24"/>
  <c r="BN13" i="24" s="1"/>
  <c r="F17" i="24"/>
  <c r="BN17" i="24" s="1"/>
  <c r="F21" i="24"/>
  <c r="BN21" i="24" s="1"/>
  <c r="F25" i="24"/>
  <c r="BN25" i="24" s="1"/>
  <c r="F29" i="24"/>
  <c r="BN29" i="24" s="1"/>
  <c r="F33" i="24"/>
  <c r="BN33" i="24" s="1"/>
  <c r="F45" i="24"/>
  <c r="BN45" i="24" s="1"/>
  <c r="F49" i="24"/>
  <c r="BN49" i="24" s="1"/>
  <c r="F57" i="24"/>
  <c r="BN57" i="24" s="1"/>
  <c r="F65" i="24"/>
  <c r="BN65" i="24" s="1"/>
  <c r="F77" i="24"/>
  <c r="BN77" i="24" s="1"/>
  <c r="F85" i="24"/>
  <c r="BN85" i="24" s="1"/>
  <c r="F97" i="24"/>
  <c r="BN97" i="24" s="1"/>
  <c r="F105" i="24"/>
  <c r="BN105" i="24" s="1"/>
  <c r="F52" i="23"/>
  <c r="J52" i="23" s="1"/>
  <c r="F102" i="23"/>
  <c r="J102" i="23" s="1"/>
  <c r="J79" i="23"/>
  <c r="J7" i="23"/>
  <c r="J106" i="23"/>
  <c r="I87" i="23"/>
  <c r="I8" i="23"/>
  <c r="I106" i="23"/>
  <c r="J31" i="23"/>
  <c r="J99" i="23"/>
  <c r="J56" i="23"/>
  <c r="J27" i="23"/>
  <c r="J96" i="23"/>
  <c r="J86" i="23"/>
  <c r="J70" i="23"/>
  <c r="J38" i="23"/>
  <c r="J33" i="23"/>
  <c r="J69" i="23"/>
  <c r="J89" i="23"/>
  <c r="J44" i="23"/>
  <c r="F12" i="23"/>
  <c r="J12" i="23" s="1"/>
  <c r="J39" i="23"/>
  <c r="I76" i="23"/>
  <c r="J76" i="23"/>
  <c r="F24" i="23"/>
  <c r="G24" i="23" s="1"/>
  <c r="H24" i="23" s="1"/>
  <c r="J98" i="23"/>
  <c r="I50" i="23"/>
  <c r="F34" i="23"/>
  <c r="J34" i="23" s="1"/>
  <c r="F13" i="23"/>
  <c r="J13" i="23" s="1"/>
  <c r="F85" i="23"/>
  <c r="J85" i="23" s="1"/>
  <c r="F87" i="23"/>
  <c r="J87" i="23" s="1"/>
  <c r="I55" i="23"/>
  <c r="F26" i="23"/>
  <c r="J26" i="23" s="1"/>
  <c r="F61" i="23"/>
  <c r="J61" i="23" s="1"/>
  <c r="I90" i="23"/>
  <c r="J59" i="23"/>
  <c r="J36" i="23"/>
  <c r="J43" i="23"/>
  <c r="J11" i="23"/>
  <c r="J75" i="23"/>
  <c r="J23" i="23"/>
  <c r="J48" i="23"/>
  <c r="J16" i="23"/>
  <c r="J78" i="23"/>
  <c r="J62" i="23"/>
  <c r="J41" i="23"/>
  <c r="J9" i="23"/>
  <c r="N91" i="23"/>
  <c r="O91" i="23" s="1"/>
  <c r="P91" i="23" s="1"/>
  <c r="N47" i="23"/>
  <c r="O47" i="23" s="1"/>
  <c r="P47" i="23" s="1"/>
  <c r="N100" i="23"/>
  <c r="O100" i="23" s="1"/>
  <c r="P100" i="23" s="1"/>
  <c r="N79" i="23"/>
  <c r="O79" i="23" s="1"/>
  <c r="P79" i="23" s="1"/>
  <c r="N57" i="23"/>
  <c r="O57" i="23" s="1"/>
  <c r="P57" i="23" s="1"/>
  <c r="N28" i="23"/>
  <c r="O28" i="23" s="1"/>
  <c r="P28" i="23" s="1"/>
  <c r="N104" i="23"/>
  <c r="O104" i="23" s="1"/>
  <c r="P104" i="23" s="1"/>
  <c r="N83" i="23"/>
  <c r="O83" i="23" s="1"/>
  <c r="P83" i="23" s="1"/>
  <c r="N61" i="23"/>
  <c r="O61" i="23" s="1"/>
  <c r="P61" i="23" s="1"/>
  <c r="N35" i="23"/>
  <c r="O35" i="23" s="1"/>
  <c r="P35" i="23" s="1"/>
  <c r="N8" i="23"/>
  <c r="O8" i="23" s="1"/>
  <c r="P8" i="23" s="1"/>
  <c r="N64" i="23"/>
  <c r="O64" i="23" s="1"/>
  <c r="P64" i="23" s="1"/>
  <c r="N7" i="23"/>
  <c r="O7" i="23" s="1"/>
  <c r="P7" i="23" s="1"/>
  <c r="N87" i="23"/>
  <c r="O87" i="23" s="1"/>
  <c r="P87" i="23" s="1"/>
  <c r="N65" i="23"/>
  <c r="O65" i="23" s="1"/>
  <c r="P65" i="23" s="1"/>
  <c r="N40" i="23"/>
  <c r="O40" i="23" s="1"/>
  <c r="P40" i="23" s="1"/>
  <c r="N106" i="23"/>
  <c r="O106" i="23" s="1"/>
  <c r="P106" i="23" s="1"/>
  <c r="N90" i="23"/>
  <c r="O90" i="23" s="1"/>
  <c r="P90" i="23" s="1"/>
  <c r="N74" i="23"/>
  <c r="O74" i="23" s="1"/>
  <c r="P74" i="23" s="1"/>
  <c r="N58" i="23"/>
  <c r="O58" i="23" s="1"/>
  <c r="P58" i="23" s="1"/>
  <c r="N42" i="23"/>
  <c r="O42" i="23" s="1"/>
  <c r="P42" i="23" s="1"/>
  <c r="N26" i="23"/>
  <c r="O26" i="23" s="1"/>
  <c r="P26" i="23" s="1"/>
  <c r="N10" i="23"/>
  <c r="O10" i="23" s="1"/>
  <c r="P10" i="23" s="1"/>
  <c r="N37" i="23"/>
  <c r="O37" i="23" s="1"/>
  <c r="P37" i="23" s="1"/>
  <c r="N21" i="23"/>
  <c r="O21" i="23" s="1"/>
  <c r="P21" i="23" s="1"/>
  <c r="I57" i="23"/>
  <c r="F91" i="23"/>
  <c r="J91" i="23" s="1"/>
  <c r="I21" i="23"/>
  <c r="F21" i="23"/>
  <c r="J21" i="23" s="1"/>
  <c r="I40" i="23"/>
  <c r="I104" i="23"/>
  <c r="I42" i="23"/>
  <c r="N80" i="23"/>
  <c r="O80" i="23" s="1"/>
  <c r="P80" i="23" s="1"/>
  <c r="N31" i="23"/>
  <c r="O31" i="23" s="1"/>
  <c r="P31" i="23" s="1"/>
  <c r="N95" i="23"/>
  <c r="O95" i="23" s="1"/>
  <c r="P95" i="23" s="1"/>
  <c r="N73" i="23"/>
  <c r="O73" i="23" s="1"/>
  <c r="P73" i="23" s="1"/>
  <c r="N52" i="23"/>
  <c r="O52" i="23" s="1"/>
  <c r="P52" i="23" s="1"/>
  <c r="N20" i="23"/>
  <c r="O20" i="23" s="1"/>
  <c r="P20" i="23" s="1"/>
  <c r="N99" i="23"/>
  <c r="O99" i="23" s="1"/>
  <c r="P99" i="23" s="1"/>
  <c r="N77" i="23"/>
  <c r="O77" i="23" s="1"/>
  <c r="P77" i="23" s="1"/>
  <c r="N56" i="23"/>
  <c r="O56" i="23" s="1"/>
  <c r="P56" i="23" s="1"/>
  <c r="N27" i="23"/>
  <c r="O27" i="23" s="1"/>
  <c r="P27" i="23" s="1"/>
  <c r="N96" i="23"/>
  <c r="O96" i="23" s="1"/>
  <c r="P96" i="23" s="1"/>
  <c r="N53" i="23"/>
  <c r="O53" i="23" s="1"/>
  <c r="P53" i="23" s="1"/>
  <c r="N103" i="23"/>
  <c r="O103" i="23" s="1"/>
  <c r="P103" i="23" s="1"/>
  <c r="N81" i="23"/>
  <c r="O81" i="23" s="1"/>
  <c r="P81" i="23" s="1"/>
  <c r="N60" i="23"/>
  <c r="O60" i="23" s="1"/>
  <c r="P60" i="23" s="1"/>
  <c r="N32" i="23"/>
  <c r="O32" i="23" s="1"/>
  <c r="P32" i="23" s="1"/>
  <c r="N102" i="23"/>
  <c r="O102" i="23" s="1"/>
  <c r="P102" i="23" s="1"/>
  <c r="N86" i="23"/>
  <c r="O86" i="23" s="1"/>
  <c r="P86" i="23" s="1"/>
  <c r="N70" i="23"/>
  <c r="O70" i="23" s="1"/>
  <c r="P70" i="23" s="1"/>
  <c r="N54" i="23"/>
  <c r="O54" i="23" s="1"/>
  <c r="P54" i="23" s="1"/>
  <c r="N38" i="23"/>
  <c r="O38" i="23" s="1"/>
  <c r="P38" i="23" s="1"/>
  <c r="N22" i="23"/>
  <c r="O22" i="23" s="1"/>
  <c r="P22" i="23" s="1"/>
  <c r="N49" i="23"/>
  <c r="O49" i="23" s="1"/>
  <c r="P49" i="23" s="1"/>
  <c r="N33" i="23"/>
  <c r="O33" i="23" s="1"/>
  <c r="P33" i="23" s="1"/>
  <c r="N17" i="23"/>
  <c r="O17" i="23" s="1"/>
  <c r="P17" i="23" s="1"/>
  <c r="N69" i="23"/>
  <c r="O69" i="23" s="1"/>
  <c r="P69" i="23" s="1"/>
  <c r="N15" i="23"/>
  <c r="O15" i="23" s="1"/>
  <c r="P15" i="23" s="1"/>
  <c r="N89" i="23"/>
  <c r="O89" i="23" s="1"/>
  <c r="P89" i="23" s="1"/>
  <c r="N68" i="23"/>
  <c r="O68" i="23" s="1"/>
  <c r="P68" i="23" s="1"/>
  <c r="N44" i="23"/>
  <c r="O44" i="23" s="1"/>
  <c r="P44" i="23" s="1"/>
  <c r="N12" i="23"/>
  <c r="O12" i="23" s="1"/>
  <c r="P12" i="23" s="1"/>
  <c r="N93" i="23"/>
  <c r="O93" i="23" s="1"/>
  <c r="P93" i="23" s="1"/>
  <c r="N72" i="23"/>
  <c r="O72" i="23" s="1"/>
  <c r="P72" i="23" s="1"/>
  <c r="N51" i="23"/>
  <c r="O51" i="23" s="1"/>
  <c r="P51" i="23" s="1"/>
  <c r="N19" i="23"/>
  <c r="O19" i="23" s="1"/>
  <c r="P19" i="23" s="1"/>
  <c r="N85" i="23"/>
  <c r="O85" i="23" s="1"/>
  <c r="P85" i="23" s="1"/>
  <c r="N39" i="23"/>
  <c r="O39" i="23" s="1"/>
  <c r="P39" i="23" s="1"/>
  <c r="N97" i="23"/>
  <c r="O97" i="23" s="1"/>
  <c r="P97" i="23" s="1"/>
  <c r="N76" i="23"/>
  <c r="O76" i="23" s="1"/>
  <c r="P76" i="23" s="1"/>
  <c r="N55" i="23"/>
  <c r="O55" i="23" s="1"/>
  <c r="P55" i="23" s="1"/>
  <c r="N24" i="23"/>
  <c r="O24" i="23" s="1"/>
  <c r="P24" i="23" s="1"/>
  <c r="N98" i="23"/>
  <c r="O98" i="23" s="1"/>
  <c r="P98" i="23" s="1"/>
  <c r="N82" i="23"/>
  <c r="O82" i="23" s="1"/>
  <c r="P82" i="23" s="1"/>
  <c r="N66" i="23"/>
  <c r="O66" i="23" s="1"/>
  <c r="P66" i="23" s="1"/>
  <c r="N50" i="23"/>
  <c r="O50" i="23" s="1"/>
  <c r="P50" i="23" s="1"/>
  <c r="N34" i="23"/>
  <c r="O34" i="23" s="1"/>
  <c r="P34" i="23" s="1"/>
  <c r="N18" i="23"/>
  <c r="O18" i="23" s="1"/>
  <c r="P18" i="23" s="1"/>
  <c r="N45" i="23"/>
  <c r="O45" i="23" s="1"/>
  <c r="P45" i="23" s="1"/>
  <c r="N29" i="23"/>
  <c r="O29" i="23" s="1"/>
  <c r="P29" i="23" s="1"/>
  <c r="N13" i="23"/>
  <c r="O13" i="23" s="1"/>
  <c r="P13" i="23" s="1"/>
  <c r="I51" i="23"/>
  <c r="I83" i="23"/>
  <c r="I91" i="23"/>
  <c r="I44" i="23"/>
  <c r="F90" i="23"/>
  <c r="J90" i="23" s="1"/>
  <c r="F83" i="23"/>
  <c r="G83" i="23" s="1"/>
  <c r="H83" i="23" s="1"/>
  <c r="F42" i="23"/>
  <c r="G42" i="23" s="1"/>
  <c r="H42" i="23" s="1"/>
  <c r="F35" i="23"/>
  <c r="J35" i="23" s="1"/>
  <c r="I69" i="23"/>
  <c r="F50" i="23"/>
  <c r="J50" i="23" s="1"/>
  <c r="I72" i="23"/>
  <c r="I45" i="23"/>
  <c r="F65" i="23"/>
  <c r="G65" i="23" s="1"/>
  <c r="H65" i="23" s="1"/>
  <c r="F82" i="23"/>
  <c r="J82" i="23" s="1"/>
  <c r="N101" i="23"/>
  <c r="O101" i="23" s="1"/>
  <c r="P101" i="23" s="1"/>
  <c r="N59" i="23"/>
  <c r="O59" i="23" s="1"/>
  <c r="P59" i="23" s="1"/>
  <c r="N105" i="23"/>
  <c r="O105" i="23" s="1"/>
  <c r="P105" i="23" s="1"/>
  <c r="N84" i="23"/>
  <c r="O84" i="23" s="1"/>
  <c r="P84" i="23" s="1"/>
  <c r="N63" i="23"/>
  <c r="O63" i="23" s="1"/>
  <c r="P63" i="23" s="1"/>
  <c r="N36" i="23"/>
  <c r="O36" i="23" s="1"/>
  <c r="P36" i="23" s="1"/>
  <c r="N6" i="23"/>
  <c r="O6" i="23" s="1"/>
  <c r="P6" i="23" s="1"/>
  <c r="N88" i="23"/>
  <c r="O88" i="23" s="1"/>
  <c r="P88" i="23" s="1"/>
  <c r="N67" i="23"/>
  <c r="O67" i="23" s="1"/>
  <c r="P67" i="23" s="1"/>
  <c r="N43" i="23"/>
  <c r="O43" i="23" s="1"/>
  <c r="P43" i="23" s="1"/>
  <c r="N11" i="23"/>
  <c r="O11" i="23" s="1"/>
  <c r="P11" i="23" s="1"/>
  <c r="N75" i="23"/>
  <c r="O75" i="23" s="1"/>
  <c r="P75" i="23" s="1"/>
  <c r="N23" i="23"/>
  <c r="O23" i="23" s="1"/>
  <c r="P23" i="23" s="1"/>
  <c r="N92" i="23"/>
  <c r="O92" i="23" s="1"/>
  <c r="P92" i="23" s="1"/>
  <c r="N71" i="23"/>
  <c r="O71" i="23" s="1"/>
  <c r="P71" i="23" s="1"/>
  <c r="N48" i="23"/>
  <c r="O48" i="23" s="1"/>
  <c r="P48" i="23" s="1"/>
  <c r="N16" i="23"/>
  <c r="O16" i="23" s="1"/>
  <c r="P16" i="23" s="1"/>
  <c r="N94" i="23"/>
  <c r="O94" i="23" s="1"/>
  <c r="P94" i="23" s="1"/>
  <c r="N78" i="23"/>
  <c r="O78" i="23" s="1"/>
  <c r="P78" i="23" s="1"/>
  <c r="N62" i="23"/>
  <c r="O62" i="23" s="1"/>
  <c r="P62" i="23" s="1"/>
  <c r="N46" i="23"/>
  <c r="O46" i="23" s="1"/>
  <c r="P46" i="23" s="1"/>
  <c r="N30" i="23"/>
  <c r="O30" i="23" s="1"/>
  <c r="P30" i="23" s="1"/>
  <c r="N14" i="23"/>
  <c r="O14" i="23" s="1"/>
  <c r="P14" i="23" s="1"/>
  <c r="N41" i="23"/>
  <c r="O41" i="23" s="1"/>
  <c r="P41" i="23" s="1"/>
  <c r="N25" i="23"/>
  <c r="O25" i="23" s="1"/>
  <c r="P25" i="23" s="1"/>
  <c r="N9" i="23"/>
  <c r="O9" i="23" s="1"/>
  <c r="P9" i="23" s="1"/>
  <c r="I19" i="23"/>
  <c r="I28" i="23"/>
  <c r="I89" i="23"/>
  <c r="F64" i="23"/>
  <c r="J64" i="23" s="1"/>
  <c r="F37" i="23"/>
  <c r="J37" i="23" s="1"/>
  <c r="F74" i="23"/>
  <c r="G74" i="23" s="1"/>
  <c r="H74" i="23" s="1"/>
  <c r="F15" i="23"/>
  <c r="J15" i="23" s="1"/>
  <c r="I47" i="23"/>
  <c r="I97" i="23"/>
  <c r="F68" i="23"/>
  <c r="J68" i="23" s="1"/>
  <c r="F45" i="23"/>
  <c r="J45" i="23" s="1"/>
  <c r="F19" i="23"/>
  <c r="J19" i="23" s="1"/>
  <c r="F47" i="23"/>
  <c r="J47" i="23" s="1"/>
  <c r="I68" i="23"/>
  <c r="F40" i="23"/>
  <c r="J40" i="23" s="1"/>
  <c r="F104" i="23"/>
  <c r="J104" i="23" s="1"/>
  <c r="F18" i="23"/>
  <c r="J18" i="23" s="1"/>
  <c r="F57" i="23"/>
  <c r="G57" i="23" s="1"/>
  <c r="H57" i="23" s="1"/>
  <c r="I7" i="23"/>
  <c r="F28" i="23"/>
  <c r="J28" i="23" s="1"/>
  <c r="F97" i="23"/>
  <c r="G97" i="23" s="1"/>
  <c r="H97" i="23" s="1"/>
  <c r="F8" i="23"/>
  <c r="J8" i="23" s="1"/>
  <c r="I58" i="23"/>
  <c r="I82" i="23"/>
  <c r="I74" i="23"/>
  <c r="I37" i="23"/>
  <c r="I35" i="23"/>
  <c r="I85" i="23"/>
  <c r="I29" i="23"/>
  <c r="F58" i="23"/>
  <c r="G58" i="23" s="1"/>
  <c r="H58" i="23" s="1"/>
  <c r="F51" i="23"/>
  <c r="J51" i="23" s="1"/>
  <c r="I15" i="23"/>
  <c r="I79" i="23"/>
  <c r="I93" i="23"/>
  <c r="I64" i="23"/>
  <c r="F100" i="23"/>
  <c r="G100" i="23" s="1"/>
  <c r="H100" i="23" s="1"/>
  <c r="F10" i="23"/>
  <c r="J10" i="23" s="1"/>
  <c r="F66" i="23"/>
  <c r="G66" i="23" s="1"/>
  <c r="H66" i="23" s="1"/>
  <c r="F55" i="23"/>
  <c r="J55" i="23" s="1"/>
  <c r="I100" i="23"/>
  <c r="F72" i="23"/>
  <c r="G72" i="23" s="1"/>
  <c r="H72" i="23" s="1"/>
  <c r="I39" i="23"/>
  <c r="I24" i="23"/>
  <c r="F29" i="23"/>
  <c r="J29" i="23" s="1"/>
  <c r="F93" i="23"/>
  <c r="G93" i="23" s="1"/>
  <c r="H93" i="23" s="1"/>
  <c r="F95" i="23"/>
  <c r="G95" i="23" s="1"/>
  <c r="H95" i="23" s="1"/>
  <c r="I26" i="23"/>
  <c r="I66" i="23"/>
  <c r="I18" i="23"/>
  <c r="I34" i="23"/>
  <c r="G96" i="23"/>
  <c r="H96" i="23" s="1"/>
  <c r="G41" i="23"/>
  <c r="H41" i="23" s="1"/>
  <c r="G36" i="23"/>
  <c r="H36" i="23" s="1"/>
  <c r="G86" i="23"/>
  <c r="H86" i="23" s="1"/>
  <c r="G23" i="23"/>
  <c r="H23" i="23" s="1"/>
  <c r="G62" i="23"/>
  <c r="H62" i="23" s="1"/>
  <c r="G11" i="23"/>
  <c r="H11" i="23" s="1"/>
  <c r="G48" i="23"/>
  <c r="H48" i="23" s="1"/>
  <c r="G9" i="23"/>
  <c r="H9" i="23" s="1"/>
  <c r="G69" i="23"/>
  <c r="H69" i="23" s="1"/>
  <c r="G75" i="23"/>
  <c r="H75" i="23" s="1"/>
  <c r="G89" i="23"/>
  <c r="H89" i="23" s="1"/>
  <c r="G39" i="23"/>
  <c r="H39" i="23" s="1"/>
  <c r="G99" i="23"/>
  <c r="H99" i="23" s="1"/>
  <c r="G76" i="23"/>
  <c r="H76" i="23" s="1"/>
  <c r="G98" i="23"/>
  <c r="H98" i="23" s="1"/>
  <c r="G27" i="23"/>
  <c r="H27" i="23" s="1"/>
  <c r="G79" i="23"/>
  <c r="H79" i="23" s="1"/>
  <c r="G78" i="23"/>
  <c r="H78" i="23" s="1"/>
  <c r="G70" i="23"/>
  <c r="H70" i="23" s="1"/>
  <c r="G59" i="23"/>
  <c r="H59" i="23" s="1"/>
  <c r="G33" i="23"/>
  <c r="H33" i="23" s="1"/>
  <c r="G43" i="23"/>
  <c r="H43" i="23" s="1"/>
  <c r="G16" i="23"/>
  <c r="H16" i="23" s="1"/>
  <c r="G106" i="23"/>
  <c r="H106" i="23" s="1"/>
  <c r="G31" i="23"/>
  <c r="H31" i="23" s="1"/>
  <c r="G38" i="23"/>
  <c r="H38" i="23" s="1"/>
  <c r="G56" i="23"/>
  <c r="H56" i="23" s="1"/>
  <c r="G44" i="23"/>
  <c r="H44" i="23" s="1"/>
  <c r="G7" i="23"/>
  <c r="H7" i="23" s="1"/>
  <c r="B19" i="19"/>
  <c r="D19" i="19" s="1"/>
  <c r="I17" i="8"/>
  <c r="J17" i="8" s="1"/>
  <c r="D150" i="2" s="1"/>
  <c r="F238" i="2" s="1"/>
  <c r="G149" i="2"/>
  <c r="F149" i="2"/>
  <c r="E37" i="1" s="1"/>
  <c r="H237" i="2" s="1"/>
  <c r="C42" i="16" s="1"/>
  <c r="I18" i="8"/>
  <c r="J18" i="8" s="1"/>
  <c r="G241" i="2" s="1"/>
  <c r="A244" i="2"/>
  <c r="B244" i="2"/>
  <c r="B225" i="2"/>
  <c r="D32" i="16"/>
  <c r="R53" i="2"/>
  <c r="C34" i="16"/>
  <c r="B135" i="2"/>
  <c r="K49" i="2"/>
  <c r="K50" i="2"/>
  <c r="D225" i="2"/>
  <c r="C157" i="8"/>
  <c r="C156" i="8" s="1"/>
  <c r="C155" i="8" s="1"/>
  <c r="C154" i="8" s="1"/>
  <c r="C153" i="8" s="1"/>
  <c r="C152" i="8" s="1"/>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224" i="2"/>
  <c r="C225" i="2"/>
  <c r="B226" i="2"/>
  <c r="A227" i="2"/>
  <c r="B230" i="2"/>
  <c r="I11" i="19"/>
  <c r="I15" i="19"/>
  <c r="I19" i="19"/>
  <c r="I23" i="19"/>
  <c r="I27" i="19"/>
  <c r="I31" i="19"/>
  <c r="I35" i="19"/>
  <c r="I39" i="19"/>
  <c r="I43" i="19"/>
  <c r="I47" i="19"/>
  <c r="I51" i="19"/>
  <c r="I55" i="19"/>
  <c r="I59" i="19"/>
  <c r="I63" i="19"/>
  <c r="I67" i="19"/>
  <c r="I71" i="19"/>
  <c r="I75" i="19"/>
  <c r="I79" i="19"/>
  <c r="I83" i="19"/>
  <c r="I87" i="19"/>
  <c r="I91" i="19"/>
  <c r="I95" i="19"/>
  <c r="I99" i="19"/>
  <c r="I103" i="19"/>
  <c r="I13" i="19"/>
  <c r="I17" i="19"/>
  <c r="I21" i="19"/>
  <c r="I25" i="19"/>
  <c r="I29" i="19"/>
  <c r="I33" i="19"/>
  <c r="I37" i="19"/>
  <c r="I41" i="19"/>
  <c r="I45" i="19"/>
  <c r="I49" i="19"/>
  <c r="I53" i="19"/>
  <c r="I57" i="19"/>
  <c r="I61" i="19"/>
  <c r="I65" i="19"/>
  <c r="I69" i="19"/>
  <c r="I73" i="19"/>
  <c r="I77" i="19"/>
  <c r="I81" i="19"/>
  <c r="I85" i="19"/>
  <c r="I89" i="19"/>
  <c r="I93" i="19"/>
  <c r="I97" i="19"/>
  <c r="I101" i="19"/>
  <c r="I105" i="19"/>
  <c r="I10" i="19"/>
  <c r="I18" i="19"/>
  <c r="I26" i="19"/>
  <c r="I34" i="19"/>
  <c r="I42" i="19"/>
  <c r="I50" i="19"/>
  <c r="I58" i="19"/>
  <c r="I66" i="19"/>
  <c r="I74" i="19"/>
  <c r="I82" i="19"/>
  <c r="I90" i="19"/>
  <c r="I98" i="19"/>
  <c r="I106" i="19"/>
  <c r="I14" i="19"/>
  <c r="I22" i="19"/>
  <c r="I30" i="19"/>
  <c r="I38" i="19"/>
  <c r="I46" i="19"/>
  <c r="I54" i="19"/>
  <c r="I62" i="19"/>
  <c r="I70" i="19"/>
  <c r="I78" i="19"/>
  <c r="I86" i="19"/>
  <c r="I94" i="19"/>
  <c r="I102" i="19"/>
  <c r="I20" i="19"/>
  <c r="I36" i="19"/>
  <c r="I52" i="19"/>
  <c r="I68" i="19"/>
  <c r="I84" i="19"/>
  <c r="I100" i="19"/>
  <c r="I24" i="19"/>
  <c r="I40" i="19"/>
  <c r="I56" i="19"/>
  <c r="I72" i="19"/>
  <c r="I88" i="19"/>
  <c r="I104" i="19"/>
  <c r="I12" i="19"/>
  <c r="I28" i="19"/>
  <c r="I44" i="19"/>
  <c r="I60" i="19"/>
  <c r="I76" i="19"/>
  <c r="I92" i="19"/>
  <c r="I16" i="19"/>
  <c r="I32" i="19"/>
  <c r="I48" i="19"/>
  <c r="I64" i="19"/>
  <c r="I80" i="19"/>
  <c r="I96" i="19"/>
  <c r="D18" i="19"/>
  <c r="O110" i="25" l="1"/>
  <c r="Q283" i="24"/>
  <c r="Q243" i="24"/>
  <c r="CE85" i="24"/>
  <c r="CE49" i="24"/>
  <c r="CE25" i="24"/>
  <c r="CE9" i="24"/>
  <c r="CE92" i="24"/>
  <c r="CE76" i="24"/>
  <c r="CE44" i="24"/>
  <c r="CE28" i="24"/>
  <c r="CE12" i="24"/>
  <c r="CE99" i="24"/>
  <c r="CE83" i="24"/>
  <c r="CE51" i="24"/>
  <c r="CE35" i="24"/>
  <c r="CE19" i="24"/>
  <c r="CE90" i="24"/>
  <c r="CE58" i="24"/>
  <c r="CE42" i="24"/>
  <c r="CE26" i="24"/>
  <c r="CE10" i="24"/>
  <c r="CE104" i="24"/>
  <c r="CE72" i="24"/>
  <c r="CE40" i="24"/>
  <c r="CE8" i="24"/>
  <c r="CE31" i="24"/>
  <c r="CE86" i="24"/>
  <c r="CE22" i="24"/>
  <c r="CE65" i="24"/>
  <c r="CE33" i="24"/>
  <c r="CE17" i="24"/>
  <c r="CE52" i="24"/>
  <c r="CE36" i="24"/>
  <c r="CE101" i="24"/>
  <c r="CE75" i="24"/>
  <c r="CE43" i="24"/>
  <c r="CE27" i="24"/>
  <c r="CE11" i="24"/>
  <c r="CE69" i="24"/>
  <c r="CE82" i="24"/>
  <c r="CE66" i="24"/>
  <c r="CE34" i="24"/>
  <c r="CE18" i="24"/>
  <c r="CE77" i="24"/>
  <c r="CE21" i="24"/>
  <c r="CE56" i="24"/>
  <c r="CE24" i="24"/>
  <c r="CE79" i="24"/>
  <c r="CE15" i="24"/>
  <c r="CE38" i="24"/>
  <c r="CE6" i="24"/>
  <c r="CE96" i="24"/>
  <c r="CE64" i="24"/>
  <c r="CE32" i="24"/>
  <c r="CE16" i="24"/>
  <c r="CE103" i="24"/>
  <c r="CE71" i="24"/>
  <c r="CE55" i="24"/>
  <c r="CE39" i="24"/>
  <c r="CE23" i="24"/>
  <c r="CE7" i="24"/>
  <c r="CE53" i="24"/>
  <c r="CE78" i="24"/>
  <c r="CE46" i="24"/>
  <c r="CE30" i="24"/>
  <c r="CD5" i="24"/>
  <c r="CE5" i="24"/>
  <c r="S45" i="24"/>
  <c r="S21" i="24"/>
  <c r="T21" i="24" s="1"/>
  <c r="O21" i="24" s="1"/>
  <c r="S88" i="24"/>
  <c r="S56" i="24"/>
  <c r="T56" i="24" s="1"/>
  <c r="O56" i="24" s="1"/>
  <c r="S24" i="24"/>
  <c r="S61" i="24"/>
  <c r="S63" i="24"/>
  <c r="T63" i="24" s="1"/>
  <c r="O63" i="24" s="1"/>
  <c r="S31" i="24"/>
  <c r="T31" i="24" s="1"/>
  <c r="O31" i="24" s="1"/>
  <c r="S81" i="24"/>
  <c r="S86" i="24"/>
  <c r="T86" i="24" s="1"/>
  <c r="O86" i="24" s="1"/>
  <c r="S54" i="24"/>
  <c r="T54" i="24" s="1"/>
  <c r="O54" i="24" s="1"/>
  <c r="S22" i="24"/>
  <c r="BN113" i="24"/>
  <c r="BQ113" i="24" s="1"/>
  <c r="BN163" i="24"/>
  <c r="BQ163" i="24" s="1"/>
  <c r="BN174" i="24"/>
  <c r="BQ174" i="24" s="1"/>
  <c r="BN183" i="24"/>
  <c r="BQ183" i="24" s="1"/>
  <c r="BN197" i="24"/>
  <c r="BQ197" i="24" s="1"/>
  <c r="BN137" i="24"/>
  <c r="BQ137" i="24" s="1"/>
  <c r="BN135" i="24"/>
  <c r="BQ135" i="24" s="1"/>
  <c r="BN194" i="24"/>
  <c r="BQ194" i="24" s="1"/>
  <c r="BN189" i="24"/>
  <c r="BQ189" i="24" s="1"/>
  <c r="BN122" i="24"/>
  <c r="BQ122" i="24" s="1"/>
  <c r="BN188" i="24"/>
  <c r="BQ188" i="24" s="1"/>
  <c r="BN172" i="24"/>
  <c r="BQ172" i="24" s="1"/>
  <c r="CB129" i="25"/>
  <c r="BL129" i="25"/>
  <c r="BP129" i="25" s="1"/>
  <c r="BL145" i="25"/>
  <c r="BP145" i="25" s="1"/>
  <c r="CB145" i="25"/>
  <c r="BL161" i="25"/>
  <c r="BP161" i="25" s="1"/>
  <c r="CB161" i="25"/>
  <c r="BL177" i="25"/>
  <c r="BP177" i="25" s="1"/>
  <c r="CB177" i="25"/>
  <c r="CB193" i="25"/>
  <c r="BL193" i="25"/>
  <c r="BP193" i="25" s="1"/>
  <c r="BL150" i="25"/>
  <c r="BP150" i="25" s="1"/>
  <c r="CB150" i="25"/>
  <c r="BL182" i="25"/>
  <c r="BP182" i="25" s="1"/>
  <c r="CB182" i="25"/>
  <c r="BL131" i="25"/>
  <c r="BP131" i="25" s="1"/>
  <c r="CB131" i="25"/>
  <c r="BL163" i="25"/>
  <c r="BP163" i="25" s="1"/>
  <c r="CB163" i="25"/>
  <c r="CB195" i="25"/>
  <c r="BL195" i="25"/>
  <c r="BP195" i="25" s="1"/>
  <c r="S65" i="24"/>
  <c r="S17" i="24"/>
  <c r="S84" i="24"/>
  <c r="S52" i="24"/>
  <c r="S20" i="24"/>
  <c r="S37" i="24"/>
  <c r="S75" i="24"/>
  <c r="S43" i="24"/>
  <c r="S11" i="24"/>
  <c r="S69" i="24"/>
  <c r="T69" i="24" s="1"/>
  <c r="O69" i="24" s="1"/>
  <c r="S98" i="24"/>
  <c r="S66" i="24"/>
  <c r="S34" i="24"/>
  <c r="BN195" i="24"/>
  <c r="BQ195" i="24" s="1"/>
  <c r="BN147" i="24"/>
  <c r="BQ147" i="24" s="1"/>
  <c r="BN154" i="24"/>
  <c r="BQ154" i="24" s="1"/>
  <c r="BN167" i="24"/>
  <c r="BQ167" i="24" s="1"/>
  <c r="BN185" i="24"/>
  <c r="BQ185" i="24" s="1"/>
  <c r="BN133" i="24"/>
  <c r="BQ133" i="24" s="1"/>
  <c r="BN112" i="24"/>
  <c r="BQ112" i="24" s="1"/>
  <c r="BN181" i="24"/>
  <c r="BQ181" i="24" s="1"/>
  <c r="BN157" i="24"/>
  <c r="BQ157" i="24" s="1"/>
  <c r="BN200" i="24"/>
  <c r="BQ200" i="24" s="1"/>
  <c r="BN168" i="24"/>
  <c r="BQ168" i="24" s="1"/>
  <c r="BL113" i="25"/>
  <c r="BP113" i="25" s="1"/>
  <c r="CB113" i="25"/>
  <c r="CB122" i="25"/>
  <c r="BL122" i="25"/>
  <c r="BP122" i="25" s="1"/>
  <c r="BL123" i="25"/>
  <c r="BP123" i="25" s="1"/>
  <c r="CB123" i="25"/>
  <c r="BL140" i="25"/>
  <c r="BP140" i="25" s="1"/>
  <c r="CB140" i="25"/>
  <c r="BL156" i="25"/>
  <c r="BP156" i="25" s="1"/>
  <c r="CB156" i="25"/>
  <c r="BL172" i="25"/>
  <c r="BP172" i="25" s="1"/>
  <c r="CB172" i="25"/>
  <c r="CB188" i="25"/>
  <c r="BL188" i="25"/>
  <c r="BP188" i="25" s="1"/>
  <c r="BL138" i="25"/>
  <c r="BP138" i="25" s="1"/>
  <c r="CB138" i="25"/>
  <c r="BL170" i="25"/>
  <c r="BP170" i="25" s="1"/>
  <c r="CB170" i="25"/>
  <c r="BL135" i="25"/>
  <c r="BP135" i="25" s="1"/>
  <c r="CB135" i="25"/>
  <c r="CB167" i="25"/>
  <c r="BL167" i="25"/>
  <c r="BP167" i="25" s="1"/>
  <c r="CB199" i="25"/>
  <c r="BL199" i="25"/>
  <c r="BP199" i="25" s="1"/>
  <c r="S97" i="24"/>
  <c r="T97" i="24" s="1"/>
  <c r="O97" i="24" s="1"/>
  <c r="S57" i="24"/>
  <c r="S29" i="24"/>
  <c r="T29" i="24" s="1"/>
  <c r="O29" i="24" s="1"/>
  <c r="S13" i="24"/>
  <c r="S96" i="24"/>
  <c r="T96" i="24" s="1"/>
  <c r="O96" i="24" s="1"/>
  <c r="S80" i="24"/>
  <c r="S64" i="24"/>
  <c r="T64" i="24" s="1"/>
  <c r="O64" i="24" s="1"/>
  <c r="S48" i="24"/>
  <c r="S32" i="24"/>
  <c r="T32" i="24" s="1"/>
  <c r="O32" i="24" s="1"/>
  <c r="S16" i="24"/>
  <c r="S89" i="24"/>
  <c r="T89" i="24" s="1"/>
  <c r="O89" i="24" s="1"/>
  <c r="S103" i="24"/>
  <c r="S87" i="24"/>
  <c r="T87" i="24" s="1"/>
  <c r="O87" i="24" s="1"/>
  <c r="S71" i="24"/>
  <c r="S55" i="24"/>
  <c r="T55" i="24" s="1"/>
  <c r="O55" i="24" s="1"/>
  <c r="S39" i="24"/>
  <c r="S23" i="24"/>
  <c r="T23" i="24" s="1"/>
  <c r="O23" i="24" s="1"/>
  <c r="S7" i="24"/>
  <c r="S53" i="24"/>
  <c r="T53" i="24" s="1"/>
  <c r="O53" i="24" s="1"/>
  <c r="S94" i="24"/>
  <c r="S78" i="24"/>
  <c r="T78" i="24" s="1"/>
  <c r="O78" i="24" s="1"/>
  <c r="S62" i="24"/>
  <c r="S46" i="24"/>
  <c r="T46" i="24" s="1"/>
  <c r="O46" i="24" s="1"/>
  <c r="S30" i="24"/>
  <c r="S14" i="24"/>
  <c r="T14" i="24" s="1"/>
  <c r="O14" i="24" s="1"/>
  <c r="BN199" i="24"/>
  <c r="BQ199" i="24" s="1"/>
  <c r="BN121" i="24"/>
  <c r="BQ121" i="24" s="1"/>
  <c r="BN191" i="24"/>
  <c r="BQ191" i="24" s="1"/>
  <c r="BN131" i="24"/>
  <c r="BQ131" i="24" s="1"/>
  <c r="BN111" i="24"/>
  <c r="BQ111" i="24" s="1"/>
  <c r="BN182" i="24"/>
  <c r="BQ182" i="24" s="1"/>
  <c r="BN166" i="24"/>
  <c r="BQ166" i="24" s="1"/>
  <c r="BN150" i="24"/>
  <c r="BQ150" i="24" s="1"/>
  <c r="BN134" i="24"/>
  <c r="BQ134" i="24" s="1"/>
  <c r="BN155" i="24"/>
  <c r="BQ155" i="24" s="1"/>
  <c r="BN123" i="24"/>
  <c r="BQ123" i="24" s="1"/>
  <c r="BN173" i="24"/>
  <c r="BQ173" i="24" s="1"/>
  <c r="BN145" i="24"/>
  <c r="BQ145" i="24" s="1"/>
  <c r="BN151" i="24"/>
  <c r="BQ151" i="24" s="1"/>
  <c r="BN210" i="24"/>
  <c r="BQ210" i="24" s="1"/>
  <c r="BN127" i="24"/>
  <c r="BQ127" i="24" s="1"/>
  <c r="BN201" i="24"/>
  <c r="BQ201" i="24" s="1"/>
  <c r="BN177" i="24"/>
  <c r="BQ177" i="24" s="1"/>
  <c r="BN130" i="24"/>
  <c r="BQ130" i="24" s="1"/>
  <c r="BN114" i="24"/>
  <c r="BQ114" i="24" s="1"/>
  <c r="BN196" i="24"/>
  <c r="BQ196" i="24" s="1"/>
  <c r="BN180" i="24"/>
  <c r="BQ180" i="24" s="1"/>
  <c r="BN164" i="24"/>
  <c r="BQ164" i="24" s="1"/>
  <c r="BN148" i="24"/>
  <c r="BQ148" i="24" s="1"/>
  <c r="BN132" i="24"/>
  <c r="BQ132" i="24" s="1"/>
  <c r="BL116" i="25"/>
  <c r="BP116" i="25" s="1"/>
  <c r="CB116" i="25"/>
  <c r="CB117" i="25"/>
  <c r="BL117" i="25"/>
  <c r="BP117" i="25" s="1"/>
  <c r="BL126" i="25"/>
  <c r="BP126" i="25" s="1"/>
  <c r="CB126" i="25"/>
  <c r="BL111" i="25"/>
  <c r="BP111" i="25" s="1"/>
  <c r="CB111" i="25"/>
  <c r="CB127" i="25"/>
  <c r="BL127" i="25"/>
  <c r="BP127" i="25" s="1"/>
  <c r="BL133" i="25"/>
  <c r="BP133" i="25" s="1"/>
  <c r="CB133" i="25"/>
  <c r="CB141" i="25"/>
  <c r="BL141" i="25"/>
  <c r="BP141" i="25" s="1"/>
  <c r="CB149" i="25"/>
  <c r="BL149" i="25"/>
  <c r="BP149" i="25" s="1"/>
  <c r="CB157" i="25"/>
  <c r="BL157" i="25"/>
  <c r="BP157" i="25" s="1"/>
  <c r="CB165" i="25"/>
  <c r="BL165" i="25"/>
  <c r="BP165" i="25" s="1"/>
  <c r="CB173" i="25"/>
  <c r="BL173" i="25"/>
  <c r="BP173" i="25" s="1"/>
  <c r="CB181" i="25"/>
  <c r="BL181" i="25"/>
  <c r="BP181" i="25" s="1"/>
  <c r="CB189" i="25"/>
  <c r="BL189" i="25"/>
  <c r="BP189" i="25" s="1"/>
  <c r="CB197" i="25"/>
  <c r="BL197" i="25"/>
  <c r="BP197" i="25" s="1"/>
  <c r="BL142" i="25"/>
  <c r="BP142" i="25" s="1"/>
  <c r="CB142" i="25"/>
  <c r="BL158" i="25"/>
  <c r="BP158" i="25" s="1"/>
  <c r="CB158" i="25"/>
  <c r="BL174" i="25"/>
  <c r="BP174" i="25" s="1"/>
  <c r="CB174" i="25"/>
  <c r="BL190" i="25"/>
  <c r="BP190" i="25" s="1"/>
  <c r="CB190" i="25"/>
  <c r="CB139" i="25"/>
  <c r="BL139" i="25"/>
  <c r="BP139" i="25" s="1"/>
  <c r="BL155" i="25"/>
  <c r="BP155" i="25" s="1"/>
  <c r="CB155" i="25"/>
  <c r="CB171" i="25"/>
  <c r="BL171" i="25"/>
  <c r="BP171" i="25" s="1"/>
  <c r="BL187" i="25"/>
  <c r="BP187" i="25" s="1"/>
  <c r="CB187" i="25"/>
  <c r="CB201" i="25"/>
  <c r="BL201" i="25"/>
  <c r="BP201" i="25" s="1"/>
  <c r="CB209" i="25"/>
  <c r="BL209" i="25"/>
  <c r="BP209" i="25" s="1"/>
  <c r="CB203" i="25"/>
  <c r="BL203" i="25"/>
  <c r="BP203" i="25" s="1"/>
  <c r="CB208" i="25"/>
  <c r="BL208" i="25"/>
  <c r="BP208" i="25" s="1"/>
  <c r="S77" i="24"/>
  <c r="S104" i="24"/>
  <c r="T104" i="24" s="1"/>
  <c r="O104" i="24" s="1"/>
  <c r="S72" i="24"/>
  <c r="T72" i="24" s="1"/>
  <c r="O72" i="24" s="1"/>
  <c r="S40" i="24"/>
  <c r="T40" i="24" s="1"/>
  <c r="O40" i="24" s="1"/>
  <c r="S8" i="24"/>
  <c r="S95" i="24"/>
  <c r="T95" i="24" s="1"/>
  <c r="O95" i="24" s="1"/>
  <c r="S79" i="24"/>
  <c r="T79" i="24" s="1"/>
  <c r="O79" i="24" s="1"/>
  <c r="S47" i="24"/>
  <c r="S15" i="24"/>
  <c r="S102" i="24"/>
  <c r="S70" i="24"/>
  <c r="T70" i="24" s="1"/>
  <c r="O70" i="24" s="1"/>
  <c r="S38" i="24"/>
  <c r="S6" i="24"/>
  <c r="BN187" i="24"/>
  <c r="BQ187" i="24" s="1"/>
  <c r="BN125" i="24"/>
  <c r="BQ125" i="24" s="1"/>
  <c r="BN202" i="24"/>
  <c r="BQ202" i="24" s="1"/>
  <c r="BN158" i="24"/>
  <c r="BQ158" i="24" s="1"/>
  <c r="BN142" i="24"/>
  <c r="BQ142" i="24" s="1"/>
  <c r="BN198" i="24"/>
  <c r="BQ198" i="24" s="1"/>
  <c r="BN153" i="24"/>
  <c r="BQ153" i="24" s="1"/>
  <c r="BN171" i="24"/>
  <c r="BQ171" i="24" s="1"/>
  <c r="BN128" i="24"/>
  <c r="BQ128" i="24" s="1"/>
  <c r="BN115" i="24"/>
  <c r="BQ115" i="24" s="1"/>
  <c r="BN161" i="24"/>
  <c r="BQ161" i="24" s="1"/>
  <c r="BN204" i="24"/>
  <c r="BQ204" i="24" s="1"/>
  <c r="BN156" i="24"/>
  <c r="BQ156" i="24" s="1"/>
  <c r="BN140" i="24"/>
  <c r="BQ140" i="24" s="1"/>
  <c r="BL121" i="25"/>
  <c r="BP121" i="25" s="1"/>
  <c r="CB121" i="25"/>
  <c r="BL124" i="25"/>
  <c r="BP124" i="25" s="1"/>
  <c r="CB124" i="25"/>
  <c r="BL118" i="25"/>
  <c r="BP118" i="25" s="1"/>
  <c r="CB118" i="25"/>
  <c r="CB119" i="25"/>
  <c r="BL119" i="25"/>
  <c r="BP119" i="25" s="1"/>
  <c r="CB137" i="25"/>
  <c r="BL137" i="25"/>
  <c r="BP137" i="25" s="1"/>
  <c r="BL153" i="25"/>
  <c r="BP153" i="25" s="1"/>
  <c r="CB153" i="25"/>
  <c r="BL169" i="25"/>
  <c r="BP169" i="25" s="1"/>
  <c r="CB169" i="25"/>
  <c r="BL185" i="25"/>
  <c r="BP185" i="25" s="1"/>
  <c r="CB185" i="25"/>
  <c r="CB134" i="25"/>
  <c r="BL134" i="25"/>
  <c r="BP134" i="25" s="1"/>
  <c r="BL166" i="25"/>
  <c r="BP166" i="25" s="1"/>
  <c r="CB166" i="25"/>
  <c r="CB198" i="25"/>
  <c r="BL198" i="25"/>
  <c r="BP198" i="25" s="1"/>
  <c r="BL147" i="25"/>
  <c r="BP147" i="25" s="1"/>
  <c r="CB147" i="25"/>
  <c r="BL179" i="25"/>
  <c r="BP179" i="25" s="1"/>
  <c r="CB179" i="25"/>
  <c r="CB205" i="25"/>
  <c r="BL205" i="25"/>
  <c r="BP205" i="25" s="1"/>
  <c r="CB200" i="25"/>
  <c r="BL200" i="25"/>
  <c r="BP200" i="25" s="1"/>
  <c r="S105" i="24"/>
  <c r="T105" i="24" s="1"/>
  <c r="O105" i="24" s="1"/>
  <c r="S33" i="24"/>
  <c r="T33" i="24" s="1"/>
  <c r="O33" i="24" s="1"/>
  <c r="S100" i="24"/>
  <c r="T100" i="24" s="1"/>
  <c r="O100" i="24" s="1"/>
  <c r="S68" i="24"/>
  <c r="T68" i="24" s="1"/>
  <c r="O68" i="24" s="1"/>
  <c r="S36" i="24"/>
  <c r="T36" i="24" s="1"/>
  <c r="O36" i="24" s="1"/>
  <c r="S101" i="24"/>
  <c r="T101" i="24" s="1"/>
  <c r="O101" i="24" s="1"/>
  <c r="S91" i="24"/>
  <c r="T91" i="24" s="1"/>
  <c r="O91" i="24" s="1"/>
  <c r="S59" i="24"/>
  <c r="T59" i="24" s="1"/>
  <c r="O59" i="24" s="1"/>
  <c r="S27" i="24"/>
  <c r="T27" i="24" s="1"/>
  <c r="O27" i="24" s="1"/>
  <c r="S82" i="24"/>
  <c r="T82" i="24" s="1"/>
  <c r="O82" i="24" s="1"/>
  <c r="S50" i="24"/>
  <c r="T50" i="24" s="1"/>
  <c r="O50" i="24" s="1"/>
  <c r="S18" i="24"/>
  <c r="T18" i="24" s="1"/>
  <c r="O18" i="24" s="1"/>
  <c r="BN117" i="24"/>
  <c r="BQ117" i="24" s="1"/>
  <c r="BN207" i="24"/>
  <c r="BQ207" i="24" s="1"/>
  <c r="BN186" i="24"/>
  <c r="BQ186" i="24" s="1"/>
  <c r="BN170" i="24"/>
  <c r="BQ170" i="24" s="1"/>
  <c r="BN138" i="24"/>
  <c r="BQ138" i="24" s="1"/>
  <c r="BN190" i="24"/>
  <c r="BQ190" i="24" s="1"/>
  <c r="BN149" i="24"/>
  <c r="BQ149" i="24" s="1"/>
  <c r="BN159" i="24"/>
  <c r="BQ159" i="24" s="1"/>
  <c r="BN124" i="24"/>
  <c r="BQ124" i="24" s="1"/>
  <c r="BN205" i="24"/>
  <c r="BQ205" i="24" s="1"/>
  <c r="BN118" i="24"/>
  <c r="BQ118" i="24" s="1"/>
  <c r="BN152" i="24"/>
  <c r="BQ152" i="24" s="1"/>
  <c r="BN136" i="24"/>
  <c r="BQ136" i="24" s="1"/>
  <c r="CB112" i="25"/>
  <c r="BL112" i="25"/>
  <c r="BP112" i="25" s="1"/>
  <c r="CB132" i="25"/>
  <c r="BL132" i="25"/>
  <c r="BP132" i="25" s="1"/>
  <c r="BL148" i="25"/>
  <c r="BP148" i="25" s="1"/>
  <c r="CB148" i="25"/>
  <c r="BL164" i="25"/>
  <c r="BP164" i="25" s="1"/>
  <c r="CB164" i="25"/>
  <c r="BL180" i="25"/>
  <c r="BP180" i="25" s="1"/>
  <c r="CB180" i="25"/>
  <c r="CB196" i="25"/>
  <c r="BL196" i="25"/>
  <c r="BP196" i="25" s="1"/>
  <c r="CB154" i="25"/>
  <c r="BL154" i="25"/>
  <c r="BP154" i="25" s="1"/>
  <c r="CB186" i="25"/>
  <c r="BL186" i="25"/>
  <c r="BP186" i="25" s="1"/>
  <c r="BL151" i="25"/>
  <c r="BP151" i="25" s="1"/>
  <c r="CB151" i="25"/>
  <c r="BL183" i="25"/>
  <c r="BP183" i="25" s="1"/>
  <c r="CB183" i="25"/>
  <c r="CB206" i="25"/>
  <c r="BL206" i="25"/>
  <c r="BP206" i="25" s="1"/>
  <c r="CB204" i="25"/>
  <c r="BL204" i="25"/>
  <c r="BP204" i="25" s="1"/>
  <c r="S85" i="24"/>
  <c r="T85" i="24" s="1"/>
  <c r="O85" i="24" s="1"/>
  <c r="S49" i="24"/>
  <c r="S25" i="24"/>
  <c r="T25" i="24" s="1"/>
  <c r="O25" i="24" s="1"/>
  <c r="S9" i="24"/>
  <c r="S92" i="24"/>
  <c r="T92" i="24" s="1"/>
  <c r="O92" i="24" s="1"/>
  <c r="S76" i="24"/>
  <c r="S60" i="24"/>
  <c r="T60" i="24" s="1"/>
  <c r="O60" i="24" s="1"/>
  <c r="S44" i="24"/>
  <c r="S28" i="24"/>
  <c r="T28" i="24" s="1"/>
  <c r="O28" i="24" s="1"/>
  <c r="S12" i="24"/>
  <c r="S73" i="24"/>
  <c r="T73" i="24" s="1"/>
  <c r="O73" i="24" s="1"/>
  <c r="S99" i="24"/>
  <c r="S83" i="24"/>
  <c r="T83" i="24" s="1"/>
  <c r="O83" i="24" s="1"/>
  <c r="S67" i="24"/>
  <c r="S51" i="24"/>
  <c r="T51" i="24" s="1"/>
  <c r="O51" i="24" s="1"/>
  <c r="S35" i="24"/>
  <c r="S19" i="24"/>
  <c r="T19" i="24" s="1"/>
  <c r="O19" i="24" s="1"/>
  <c r="S93" i="24"/>
  <c r="S41" i="24"/>
  <c r="T41" i="24" s="1"/>
  <c r="O41" i="24" s="1"/>
  <c r="S90" i="24"/>
  <c r="S74" i="24"/>
  <c r="T74" i="24" s="1"/>
  <c r="O74" i="24" s="1"/>
  <c r="S58" i="24"/>
  <c r="S42" i="24"/>
  <c r="T42" i="24" s="1"/>
  <c r="O42" i="24" s="1"/>
  <c r="S26" i="24"/>
  <c r="S10" i="24"/>
  <c r="T10" i="24" s="1"/>
  <c r="O10" i="24" s="1"/>
  <c r="BN203" i="24"/>
  <c r="BQ203" i="24" s="1"/>
  <c r="BN129" i="24"/>
  <c r="BQ129" i="24" s="1"/>
  <c r="BN179" i="24"/>
  <c r="BQ179" i="24" s="1"/>
  <c r="BN120" i="24"/>
  <c r="BQ120" i="24" s="1"/>
  <c r="BN178" i="24"/>
  <c r="BQ178" i="24" s="1"/>
  <c r="BN162" i="24"/>
  <c r="BQ162" i="24" s="1"/>
  <c r="BN146" i="24"/>
  <c r="BQ146" i="24" s="1"/>
  <c r="BN139" i="24"/>
  <c r="BQ139" i="24" s="1"/>
  <c r="BN116" i="24"/>
  <c r="BQ116" i="24" s="1"/>
  <c r="BN209" i="24"/>
  <c r="BQ209" i="24" s="1"/>
  <c r="BN165" i="24"/>
  <c r="BQ165" i="24" s="1"/>
  <c r="BN175" i="24"/>
  <c r="BQ175" i="24" s="1"/>
  <c r="BN143" i="24"/>
  <c r="BQ143" i="24" s="1"/>
  <c r="BN206" i="24"/>
  <c r="BQ206" i="24" s="1"/>
  <c r="BN119" i="24"/>
  <c r="BQ119" i="24" s="1"/>
  <c r="BN193" i="24"/>
  <c r="BQ193" i="24" s="1"/>
  <c r="BN169" i="24"/>
  <c r="BQ169" i="24" s="1"/>
  <c r="BN126" i="24"/>
  <c r="BQ126" i="24" s="1"/>
  <c r="BN208" i="24"/>
  <c r="BQ208" i="24" s="1"/>
  <c r="BN192" i="24"/>
  <c r="BQ192" i="24" s="1"/>
  <c r="BN176" i="24"/>
  <c r="BQ176" i="24" s="1"/>
  <c r="BN160" i="24"/>
  <c r="BQ160" i="24" s="1"/>
  <c r="BN144" i="24"/>
  <c r="BQ144" i="24" s="1"/>
  <c r="BL120" i="25"/>
  <c r="BP120" i="25" s="1"/>
  <c r="CB120" i="25"/>
  <c r="CB125" i="25"/>
  <c r="BL125" i="25"/>
  <c r="BP125" i="25" s="1"/>
  <c r="CB114" i="25"/>
  <c r="BL114" i="25"/>
  <c r="BP114" i="25" s="1"/>
  <c r="CB115" i="25"/>
  <c r="BL115" i="25"/>
  <c r="BP115" i="25" s="1"/>
  <c r="BL128" i="25"/>
  <c r="BP128" i="25" s="1"/>
  <c r="CB128" i="25"/>
  <c r="BL136" i="25"/>
  <c r="BP136" i="25" s="1"/>
  <c r="CB136" i="25"/>
  <c r="BL144" i="25"/>
  <c r="BP144" i="25" s="1"/>
  <c r="CB144" i="25"/>
  <c r="CB152" i="25"/>
  <c r="BL152" i="25"/>
  <c r="BP152" i="25" s="1"/>
  <c r="CB160" i="25"/>
  <c r="BL160" i="25"/>
  <c r="BP160" i="25" s="1"/>
  <c r="BL168" i="25"/>
  <c r="BP168" i="25" s="1"/>
  <c r="CB168" i="25"/>
  <c r="CB176" i="25"/>
  <c r="BL176" i="25"/>
  <c r="BP176" i="25" s="1"/>
  <c r="CB184" i="25"/>
  <c r="BL184" i="25"/>
  <c r="BP184" i="25" s="1"/>
  <c r="CB192" i="25"/>
  <c r="BL192" i="25"/>
  <c r="BP192" i="25" s="1"/>
  <c r="BL130" i="25"/>
  <c r="BP130" i="25" s="1"/>
  <c r="CB130" i="25"/>
  <c r="CB146" i="25"/>
  <c r="BL146" i="25"/>
  <c r="BP146" i="25" s="1"/>
  <c r="CB162" i="25"/>
  <c r="BL162" i="25"/>
  <c r="BP162" i="25" s="1"/>
  <c r="CB178" i="25"/>
  <c r="BL178" i="25"/>
  <c r="BP178" i="25" s="1"/>
  <c r="CB194" i="25"/>
  <c r="BL194" i="25"/>
  <c r="BP194" i="25" s="1"/>
  <c r="CB143" i="25"/>
  <c r="BL143" i="25"/>
  <c r="BP143" i="25" s="1"/>
  <c r="BL159" i="25"/>
  <c r="BP159" i="25" s="1"/>
  <c r="CB159" i="25"/>
  <c r="CB175" i="25"/>
  <c r="BL175" i="25"/>
  <c r="BP175" i="25" s="1"/>
  <c r="BL191" i="25"/>
  <c r="BP191" i="25" s="1"/>
  <c r="CB191" i="25"/>
  <c r="CB202" i="25"/>
  <c r="BL202" i="25"/>
  <c r="BP202" i="25" s="1"/>
  <c r="CB210" i="25"/>
  <c r="BL210" i="25"/>
  <c r="BP210" i="25" s="1"/>
  <c r="BL207" i="25"/>
  <c r="BP207" i="25" s="1"/>
  <c r="CB207" i="25"/>
  <c r="U110" i="24"/>
  <c r="V110" i="24" s="1"/>
  <c r="N210" i="24"/>
  <c r="P210" i="24" s="1"/>
  <c r="S141" i="24"/>
  <c r="T141" i="24" s="1"/>
  <c r="BN141" i="24"/>
  <c r="BQ141" i="24" s="1"/>
  <c r="S184" i="24"/>
  <c r="T184" i="24" s="1"/>
  <c r="BN184" i="24"/>
  <c r="BQ184" i="24" s="1"/>
  <c r="Q226" i="24"/>
  <c r="Q290" i="24"/>
  <c r="Q233" i="24"/>
  <c r="Q282" i="24"/>
  <c r="Q277" i="24"/>
  <c r="Q292" i="24"/>
  <c r="Q254" i="24"/>
  <c r="Q284" i="24"/>
  <c r="Q230" i="24"/>
  <c r="Q257" i="24"/>
  <c r="Q248" i="24"/>
  <c r="Q222" i="24"/>
  <c r="Q312" i="24"/>
  <c r="O216" i="24"/>
  <c r="J216" i="24"/>
  <c r="J110" i="24"/>
  <c r="O110" i="24"/>
  <c r="BY110" i="24" s="1"/>
  <c r="S121" i="24"/>
  <c r="T121" i="24" s="1"/>
  <c r="J121" i="24" s="1"/>
  <c r="S262" i="24"/>
  <c r="T262" i="24" s="1"/>
  <c r="O262" i="24" s="1"/>
  <c r="Q150" i="24"/>
  <c r="S150" i="24"/>
  <c r="T150" i="24" s="1"/>
  <c r="S305" i="24"/>
  <c r="T305" i="24" s="1"/>
  <c r="O305" i="24" s="1"/>
  <c r="S257" i="24"/>
  <c r="T257" i="24" s="1"/>
  <c r="O257" i="24" s="1"/>
  <c r="Q155" i="24"/>
  <c r="S155" i="24"/>
  <c r="T155" i="24" s="1"/>
  <c r="S230" i="24"/>
  <c r="T230" i="24" s="1"/>
  <c r="J230" i="24" s="1"/>
  <c r="Q145" i="24"/>
  <c r="S145" i="24"/>
  <c r="T145" i="24" s="1"/>
  <c r="S284" i="24"/>
  <c r="T284" i="24" s="1"/>
  <c r="O284" i="24" s="1"/>
  <c r="S236" i="24"/>
  <c r="T236" i="24" s="1"/>
  <c r="J236" i="24" s="1"/>
  <c r="S314" i="24"/>
  <c r="T314" i="24" s="1"/>
  <c r="J314" i="24" s="1"/>
  <c r="S210" i="24"/>
  <c r="T210" i="24" s="1"/>
  <c r="S130" i="24"/>
  <c r="T130" i="24" s="1"/>
  <c r="O130" i="24" s="1"/>
  <c r="S180" i="24"/>
  <c r="T180" i="24" s="1"/>
  <c r="J180" i="24" s="1"/>
  <c r="AI180" i="24" s="1"/>
  <c r="S132" i="24"/>
  <c r="T132" i="24" s="1"/>
  <c r="O132" i="24" s="1"/>
  <c r="S271" i="24"/>
  <c r="T271" i="24" s="1"/>
  <c r="J271" i="24" s="1"/>
  <c r="S223" i="24"/>
  <c r="T223" i="24" s="1"/>
  <c r="J223" i="24" s="1"/>
  <c r="Q187" i="24"/>
  <c r="S187" i="24"/>
  <c r="T187" i="24" s="1"/>
  <c r="S113" i="24"/>
  <c r="T113" i="24" s="1"/>
  <c r="O113" i="24" s="1"/>
  <c r="Q125" i="24"/>
  <c r="S125" i="24"/>
  <c r="T125" i="24" s="1"/>
  <c r="Q163" i="24"/>
  <c r="S163" i="24"/>
  <c r="T163" i="24" s="1"/>
  <c r="S294" i="24"/>
  <c r="T294" i="24" s="1"/>
  <c r="J294" i="24" s="1"/>
  <c r="S242" i="24"/>
  <c r="T242" i="24" s="1"/>
  <c r="O242" i="24" s="1"/>
  <c r="S202" i="24"/>
  <c r="T202" i="24" s="1"/>
  <c r="J202" i="24" s="1"/>
  <c r="AI202" i="24" s="1"/>
  <c r="S174" i="24"/>
  <c r="T174" i="24" s="1"/>
  <c r="O174" i="24" s="1"/>
  <c r="S158" i="24"/>
  <c r="T158" i="24" s="1"/>
  <c r="O158" i="24" s="1"/>
  <c r="Q142" i="24"/>
  <c r="S142" i="24"/>
  <c r="T142" i="24" s="1"/>
  <c r="S313" i="24"/>
  <c r="T313" i="24" s="1"/>
  <c r="O313" i="24" s="1"/>
  <c r="S297" i="24"/>
  <c r="T297" i="24" s="1"/>
  <c r="J297" i="24" s="1"/>
  <c r="S281" i="24"/>
  <c r="T281" i="24" s="1"/>
  <c r="O281" i="24" s="1"/>
  <c r="S265" i="24"/>
  <c r="T265" i="24" s="1"/>
  <c r="O265" i="24" s="1"/>
  <c r="S249" i="24"/>
  <c r="T249" i="24" s="1"/>
  <c r="O249" i="24" s="1"/>
  <c r="S233" i="24"/>
  <c r="T233" i="24" s="1"/>
  <c r="J233" i="24" s="1"/>
  <c r="Q183" i="24"/>
  <c r="S183" i="24"/>
  <c r="T183" i="24" s="1"/>
  <c r="S306" i="24"/>
  <c r="T306" i="24" s="1"/>
  <c r="O306" i="24" s="1"/>
  <c r="S254" i="24"/>
  <c r="T254" i="24" s="1"/>
  <c r="J254" i="24" s="1"/>
  <c r="S198" i="24"/>
  <c r="T198" i="24" s="1"/>
  <c r="O198" i="24" s="1"/>
  <c r="S197" i="24"/>
  <c r="T197" i="24" s="1"/>
  <c r="J197" i="24" s="1"/>
  <c r="S153" i="24"/>
  <c r="T153" i="24" s="1"/>
  <c r="O153" i="24" s="1"/>
  <c r="Q137" i="24"/>
  <c r="S137" i="24"/>
  <c r="T137" i="24" s="1"/>
  <c r="S308" i="24"/>
  <c r="T308" i="24" s="1"/>
  <c r="O308" i="24" s="1"/>
  <c r="S292" i="24"/>
  <c r="T292" i="24" s="1"/>
  <c r="J292" i="24" s="1"/>
  <c r="S276" i="24"/>
  <c r="T276" i="24" s="1"/>
  <c r="O276" i="24" s="1"/>
  <c r="S260" i="24"/>
  <c r="T260" i="24" s="1"/>
  <c r="O260" i="24" s="1"/>
  <c r="S244" i="24"/>
  <c r="T244" i="24" s="1"/>
  <c r="O244" i="24" s="1"/>
  <c r="S228" i="24"/>
  <c r="T228" i="24" s="1"/>
  <c r="J228" i="24" s="1"/>
  <c r="S171" i="24"/>
  <c r="T171" i="24" s="1"/>
  <c r="O171" i="24" s="1"/>
  <c r="S135" i="24"/>
  <c r="T135" i="24" s="1"/>
  <c r="J135" i="24" s="1"/>
  <c r="AI135" i="24" s="1"/>
  <c r="S298" i="24"/>
  <c r="T298" i="24" s="1"/>
  <c r="O298" i="24" s="1"/>
  <c r="S258" i="24"/>
  <c r="T258" i="24" s="1"/>
  <c r="J258" i="24" s="1"/>
  <c r="Q128" i="24"/>
  <c r="S128" i="24"/>
  <c r="T128" i="24" s="1"/>
  <c r="Q194" i="24"/>
  <c r="S194" i="24"/>
  <c r="T194" i="24" s="1"/>
  <c r="Q115" i="24"/>
  <c r="S115" i="24"/>
  <c r="T115" i="24" s="1"/>
  <c r="S189" i="24"/>
  <c r="T189" i="24" s="1"/>
  <c r="O189" i="24" s="1"/>
  <c r="Q161" i="24"/>
  <c r="S161" i="24"/>
  <c r="T161" i="24" s="1"/>
  <c r="Q122" i="24"/>
  <c r="S122" i="24"/>
  <c r="T122" i="24" s="1"/>
  <c r="S204" i="24"/>
  <c r="T204" i="24" s="1"/>
  <c r="O204" i="24" s="1"/>
  <c r="Q188" i="24"/>
  <c r="S188" i="24"/>
  <c r="T188" i="24" s="1"/>
  <c r="Q172" i="24"/>
  <c r="S172" i="24"/>
  <c r="T172" i="24" s="1"/>
  <c r="S156" i="24"/>
  <c r="T156" i="24" s="1"/>
  <c r="O156" i="24" s="1"/>
  <c r="S140" i="24"/>
  <c r="T140" i="24" s="1"/>
  <c r="J140" i="24" s="1"/>
  <c r="AI140" i="24" s="1"/>
  <c r="S311" i="24"/>
  <c r="T311" i="24" s="1"/>
  <c r="O311" i="24" s="1"/>
  <c r="S295" i="24"/>
  <c r="T295" i="24" s="1"/>
  <c r="O295" i="24" s="1"/>
  <c r="S279" i="24"/>
  <c r="T279" i="24" s="1"/>
  <c r="J279" i="24" s="1"/>
  <c r="S263" i="24"/>
  <c r="T263" i="24" s="1"/>
  <c r="O263" i="24" s="1"/>
  <c r="S247" i="24"/>
  <c r="T247" i="24" s="1"/>
  <c r="J247" i="24" s="1"/>
  <c r="S231" i="24"/>
  <c r="T231" i="24" s="1"/>
  <c r="O231" i="24" s="1"/>
  <c r="Q199" i="24"/>
  <c r="S199" i="24"/>
  <c r="T199" i="24" s="1"/>
  <c r="Q131" i="24"/>
  <c r="S131" i="24"/>
  <c r="T131" i="24" s="1"/>
  <c r="Q182" i="24"/>
  <c r="S182" i="24"/>
  <c r="T182" i="24" s="1"/>
  <c r="S289" i="24"/>
  <c r="T289" i="24" s="1"/>
  <c r="O289" i="24" s="1"/>
  <c r="S225" i="24"/>
  <c r="T225" i="24" s="1"/>
  <c r="O225" i="24" s="1"/>
  <c r="Q123" i="24"/>
  <c r="S123" i="24"/>
  <c r="T123" i="24" s="1"/>
  <c r="S316" i="24"/>
  <c r="T316" i="24" s="1"/>
  <c r="J316" i="24" s="1"/>
  <c r="S252" i="24"/>
  <c r="T252" i="24" s="1"/>
  <c r="O252" i="24" s="1"/>
  <c r="S151" i="24"/>
  <c r="T151" i="24" s="1"/>
  <c r="O151" i="24" s="1"/>
  <c r="S234" i="24"/>
  <c r="T234" i="24" s="1"/>
  <c r="J234" i="24" s="1"/>
  <c r="Q201" i="24"/>
  <c r="S201" i="24"/>
  <c r="T201" i="24" s="1"/>
  <c r="S114" i="24"/>
  <c r="T114" i="24" s="1"/>
  <c r="O114" i="24" s="1"/>
  <c r="S164" i="24"/>
  <c r="T164" i="24" s="1"/>
  <c r="J164" i="24" s="1"/>
  <c r="AI164" i="24" s="1"/>
  <c r="S303" i="24"/>
  <c r="T303" i="24" s="1"/>
  <c r="J303" i="24" s="1"/>
  <c r="S255" i="24"/>
  <c r="T255" i="24" s="1"/>
  <c r="O255" i="24" s="1"/>
  <c r="S117" i="24"/>
  <c r="T117" i="24" s="1"/>
  <c r="O117" i="24" s="1"/>
  <c r="S195" i="24"/>
  <c r="T195" i="24" s="1"/>
  <c r="O195" i="24" s="1"/>
  <c r="Q207" i="24"/>
  <c r="S207" i="24"/>
  <c r="T207" i="24" s="1"/>
  <c r="S147" i="24"/>
  <c r="T147" i="24" s="1"/>
  <c r="O147" i="24" s="1"/>
  <c r="S282" i="24"/>
  <c r="T282" i="24" s="1"/>
  <c r="O282" i="24" s="1"/>
  <c r="S226" i="24"/>
  <c r="T226" i="24" s="1"/>
  <c r="O226" i="24" s="1"/>
  <c r="Q186" i="24"/>
  <c r="S186" i="24"/>
  <c r="T186" i="24" s="1"/>
  <c r="Q170" i="24"/>
  <c r="S170" i="24"/>
  <c r="T170" i="24" s="1"/>
  <c r="Q154" i="24"/>
  <c r="S154" i="24"/>
  <c r="T154" i="24" s="1"/>
  <c r="S138" i="24"/>
  <c r="T138" i="24" s="1"/>
  <c r="J138" i="24" s="1"/>
  <c r="AI138" i="24" s="1"/>
  <c r="S309" i="24"/>
  <c r="T309" i="24" s="1"/>
  <c r="J309" i="24" s="1"/>
  <c r="S293" i="24"/>
  <c r="T293" i="24" s="1"/>
  <c r="J293" i="24" s="1"/>
  <c r="S277" i="24"/>
  <c r="T277" i="24" s="1"/>
  <c r="O277" i="24" s="1"/>
  <c r="S261" i="24"/>
  <c r="T261" i="24" s="1"/>
  <c r="O261" i="24" s="1"/>
  <c r="S245" i="24"/>
  <c r="T245" i="24" s="1"/>
  <c r="J245" i="24" s="1"/>
  <c r="S229" i="24"/>
  <c r="T229" i="24" s="1"/>
  <c r="J229" i="24" s="1"/>
  <c r="Q167" i="24"/>
  <c r="S167" i="24"/>
  <c r="T167" i="24" s="1"/>
  <c r="S290" i="24"/>
  <c r="T290" i="24" s="1"/>
  <c r="O290" i="24" s="1"/>
  <c r="S238" i="24"/>
  <c r="T238" i="24" s="1"/>
  <c r="O238" i="24" s="1"/>
  <c r="S190" i="24"/>
  <c r="T190" i="24" s="1"/>
  <c r="O190" i="24" s="1"/>
  <c r="S185" i="24"/>
  <c r="T185" i="24" s="1"/>
  <c r="O185" i="24" s="1"/>
  <c r="Q149" i="24"/>
  <c r="S149" i="24"/>
  <c r="T149" i="24" s="1"/>
  <c r="S133" i="24"/>
  <c r="T133" i="24" s="1"/>
  <c r="O133" i="24" s="1"/>
  <c r="S304" i="24"/>
  <c r="T304" i="24" s="1"/>
  <c r="J304" i="24" s="1"/>
  <c r="S288" i="24"/>
  <c r="T288" i="24" s="1"/>
  <c r="J288" i="24" s="1"/>
  <c r="S272" i="24"/>
  <c r="T272" i="24" s="1"/>
  <c r="J272" i="24" s="1"/>
  <c r="S256" i="24"/>
  <c r="T256" i="24" s="1"/>
  <c r="J256" i="24" s="1"/>
  <c r="S240" i="24"/>
  <c r="T240" i="24" s="1"/>
  <c r="J240" i="24" s="1"/>
  <c r="S224" i="24"/>
  <c r="T224" i="24" s="1"/>
  <c r="J224" i="24" s="1"/>
  <c r="Q159" i="24"/>
  <c r="S159" i="24"/>
  <c r="T159" i="24" s="1"/>
  <c r="S217" i="24"/>
  <c r="T217" i="24" s="1"/>
  <c r="O217" i="24" s="1"/>
  <c r="S286" i="24"/>
  <c r="T286" i="24" s="1"/>
  <c r="J286" i="24" s="1"/>
  <c r="S246" i="24"/>
  <c r="T246" i="24" s="1"/>
  <c r="O246" i="24" s="1"/>
  <c r="S124" i="24"/>
  <c r="T124" i="24" s="1"/>
  <c r="J124" i="24" s="1"/>
  <c r="AI124" i="24" s="1"/>
  <c r="Q112" i="24"/>
  <c r="S112" i="24"/>
  <c r="T112" i="24" s="1"/>
  <c r="Q205" i="24"/>
  <c r="S205" i="24"/>
  <c r="T205" i="24" s="1"/>
  <c r="Q181" i="24"/>
  <c r="S181" i="24"/>
  <c r="T181" i="24" s="1"/>
  <c r="Q157" i="24"/>
  <c r="S157" i="24"/>
  <c r="T157" i="24" s="1"/>
  <c r="S118" i="24"/>
  <c r="T118" i="24" s="1"/>
  <c r="J118" i="24" s="1"/>
  <c r="AI118" i="24" s="1"/>
  <c r="S200" i="24"/>
  <c r="T200" i="24" s="1"/>
  <c r="J200" i="24" s="1"/>
  <c r="AI200" i="24" s="1"/>
  <c r="S168" i="24"/>
  <c r="T168" i="24" s="1"/>
  <c r="O168" i="24" s="1"/>
  <c r="Q152" i="24"/>
  <c r="S152" i="24"/>
  <c r="T152" i="24" s="1"/>
  <c r="Q136" i="24"/>
  <c r="S136" i="24"/>
  <c r="T136" i="24" s="1"/>
  <c r="S307" i="24"/>
  <c r="T307" i="24" s="1"/>
  <c r="J307" i="24" s="1"/>
  <c r="S291" i="24"/>
  <c r="T291" i="24" s="1"/>
  <c r="O291" i="24" s="1"/>
  <c r="S275" i="24"/>
  <c r="T275" i="24" s="1"/>
  <c r="J275" i="24" s="1"/>
  <c r="S259" i="24"/>
  <c r="T259" i="24" s="1"/>
  <c r="J259" i="24" s="1"/>
  <c r="S243" i="24"/>
  <c r="T243" i="24" s="1"/>
  <c r="J243" i="24" s="1"/>
  <c r="S227" i="24"/>
  <c r="T227" i="24" s="1"/>
  <c r="J227" i="24" s="1"/>
  <c r="S191" i="24"/>
  <c r="T191" i="24" s="1"/>
  <c r="O191" i="24" s="1"/>
  <c r="S111" i="24"/>
  <c r="T111" i="24" s="1"/>
  <c r="J111" i="24" s="1"/>
  <c r="S166" i="24"/>
  <c r="T166" i="24" s="1"/>
  <c r="O166" i="24" s="1"/>
  <c r="Q134" i="24"/>
  <c r="S134" i="24"/>
  <c r="T134" i="24" s="1"/>
  <c r="S273" i="24"/>
  <c r="T273" i="24" s="1"/>
  <c r="J273" i="24" s="1"/>
  <c r="S241" i="24"/>
  <c r="T241" i="24" s="1"/>
  <c r="J241" i="24" s="1"/>
  <c r="S278" i="24"/>
  <c r="T278" i="24" s="1"/>
  <c r="O278" i="24" s="1"/>
  <c r="S173" i="24"/>
  <c r="T173" i="24" s="1"/>
  <c r="J173" i="24" s="1"/>
  <c r="AI173" i="24" s="1"/>
  <c r="S300" i="24"/>
  <c r="T300" i="24" s="1"/>
  <c r="J300" i="24" s="1"/>
  <c r="S268" i="24"/>
  <c r="T268" i="24" s="1"/>
  <c r="J268" i="24" s="1"/>
  <c r="S220" i="24"/>
  <c r="T220" i="24" s="1"/>
  <c r="J220" i="24" s="1"/>
  <c r="S274" i="24"/>
  <c r="T274" i="24" s="1"/>
  <c r="J274" i="24" s="1"/>
  <c r="S127" i="24"/>
  <c r="T127" i="24" s="1"/>
  <c r="J127" i="24" s="1"/>
  <c r="Q177" i="24"/>
  <c r="S177" i="24"/>
  <c r="T177" i="24" s="1"/>
  <c r="Q196" i="24"/>
  <c r="S196" i="24"/>
  <c r="T196" i="24" s="1"/>
  <c r="Q148" i="24"/>
  <c r="S148" i="24"/>
  <c r="T148" i="24" s="1"/>
  <c r="S287" i="24"/>
  <c r="T287" i="24" s="1"/>
  <c r="J287" i="24" s="1"/>
  <c r="S239" i="24"/>
  <c r="T239" i="24" s="1"/>
  <c r="J239" i="24" s="1"/>
  <c r="Q203" i="24"/>
  <c r="S203" i="24"/>
  <c r="T203" i="24" s="1"/>
  <c r="S129" i="24"/>
  <c r="T129" i="24" s="1"/>
  <c r="J129" i="24" s="1"/>
  <c r="AI129" i="24" s="1"/>
  <c r="Q179" i="24"/>
  <c r="S179" i="24"/>
  <c r="T179" i="24" s="1"/>
  <c r="S310" i="24"/>
  <c r="T310" i="24" s="1"/>
  <c r="J310" i="24" s="1"/>
  <c r="S250" i="24"/>
  <c r="T250" i="24" s="1"/>
  <c r="J250" i="24" s="1"/>
  <c r="S120" i="24"/>
  <c r="T120" i="24" s="1"/>
  <c r="O120" i="24" s="1"/>
  <c r="S178" i="24"/>
  <c r="T178" i="24" s="1"/>
  <c r="J178" i="24" s="1"/>
  <c r="AI178" i="24" s="1"/>
  <c r="Q162" i="24"/>
  <c r="S162" i="24"/>
  <c r="T162" i="24" s="1"/>
  <c r="S146" i="24"/>
  <c r="T146" i="24" s="1"/>
  <c r="O146" i="24" s="1"/>
  <c r="S218" i="24"/>
  <c r="T218" i="24" s="1"/>
  <c r="J218" i="24" s="1"/>
  <c r="S301" i="24"/>
  <c r="T301" i="24" s="1"/>
  <c r="J301" i="24" s="1"/>
  <c r="S285" i="24"/>
  <c r="T285" i="24" s="1"/>
  <c r="J285" i="24" s="1"/>
  <c r="S269" i="24"/>
  <c r="T269" i="24" s="1"/>
  <c r="O269" i="24" s="1"/>
  <c r="S253" i="24"/>
  <c r="T253" i="24" s="1"/>
  <c r="O253" i="24" s="1"/>
  <c r="S237" i="24"/>
  <c r="T237" i="24" s="1"/>
  <c r="O237" i="24" s="1"/>
  <c r="S221" i="24"/>
  <c r="T221" i="24" s="1"/>
  <c r="J221" i="24" s="1"/>
  <c r="S139" i="24"/>
  <c r="T139" i="24" s="1"/>
  <c r="O139" i="24" s="1"/>
  <c r="S266" i="24"/>
  <c r="T266" i="24" s="1"/>
  <c r="J266" i="24" s="1"/>
  <c r="Q116" i="24"/>
  <c r="S116" i="24"/>
  <c r="T116" i="24" s="1"/>
  <c r="S209" i="24"/>
  <c r="T209" i="24" s="1"/>
  <c r="O209" i="24" s="1"/>
  <c r="Q165" i="24"/>
  <c r="S165" i="24"/>
  <c r="T165" i="24" s="1"/>
  <c r="S312" i="24"/>
  <c r="T312" i="24" s="1"/>
  <c r="O312" i="24" s="1"/>
  <c r="S296" i="24"/>
  <c r="T296" i="24" s="1"/>
  <c r="O296" i="24" s="1"/>
  <c r="S280" i="24"/>
  <c r="T280" i="24" s="1"/>
  <c r="O280" i="24" s="1"/>
  <c r="S264" i="24"/>
  <c r="T264" i="24" s="1"/>
  <c r="J264" i="24" s="1"/>
  <c r="S248" i="24"/>
  <c r="T248" i="24" s="1"/>
  <c r="O248" i="24" s="1"/>
  <c r="S232" i="24"/>
  <c r="T232" i="24" s="1"/>
  <c r="O232" i="24" s="1"/>
  <c r="S175" i="24"/>
  <c r="T175" i="24" s="1"/>
  <c r="J175" i="24" s="1"/>
  <c r="AI175" i="24" s="1"/>
  <c r="S143" i="24"/>
  <c r="T143" i="24" s="1"/>
  <c r="O143" i="24" s="1"/>
  <c r="S302" i="24"/>
  <c r="T302" i="24" s="1"/>
  <c r="J302" i="24" s="1"/>
  <c r="S270" i="24"/>
  <c r="T270" i="24" s="1"/>
  <c r="O270" i="24" s="1"/>
  <c r="S222" i="24"/>
  <c r="T222" i="24" s="1"/>
  <c r="J222" i="24" s="1"/>
  <c r="Q206" i="24"/>
  <c r="S206" i="24"/>
  <c r="T206" i="24" s="1"/>
  <c r="Q119" i="24"/>
  <c r="S119" i="24"/>
  <c r="T119" i="24" s="1"/>
  <c r="S193" i="24"/>
  <c r="T193" i="24" s="1"/>
  <c r="O193" i="24" s="1"/>
  <c r="Q169" i="24"/>
  <c r="S169" i="24"/>
  <c r="T169" i="24" s="1"/>
  <c r="S126" i="24"/>
  <c r="T126" i="24" s="1"/>
  <c r="J126" i="24" s="1"/>
  <c r="AI126" i="24" s="1"/>
  <c r="Q208" i="24"/>
  <c r="S208" i="24"/>
  <c r="T208" i="24" s="1"/>
  <c r="Q192" i="24"/>
  <c r="S192" i="24"/>
  <c r="T192" i="24" s="1"/>
  <c r="S176" i="24"/>
  <c r="T176" i="24" s="1"/>
  <c r="O176" i="24" s="1"/>
  <c r="S160" i="24"/>
  <c r="T160" i="24" s="1"/>
  <c r="J160" i="24" s="1"/>
  <c r="AI160" i="24" s="1"/>
  <c r="S144" i="24"/>
  <c r="T144" i="24" s="1"/>
  <c r="O144" i="24" s="1"/>
  <c r="S315" i="24"/>
  <c r="T315" i="24" s="1"/>
  <c r="J315" i="24" s="1"/>
  <c r="S299" i="24"/>
  <c r="T299" i="24" s="1"/>
  <c r="O299" i="24" s="1"/>
  <c r="S283" i="24"/>
  <c r="T283" i="24" s="1"/>
  <c r="O283" i="24" s="1"/>
  <c r="S267" i="24"/>
  <c r="T267" i="24" s="1"/>
  <c r="O267" i="24" s="1"/>
  <c r="S251" i="24"/>
  <c r="T251" i="24" s="1"/>
  <c r="J251" i="24" s="1"/>
  <c r="S235" i="24"/>
  <c r="T235" i="24" s="1"/>
  <c r="J235" i="24" s="1"/>
  <c r="S219" i="24"/>
  <c r="T219" i="24" s="1"/>
  <c r="J219" i="24" s="1"/>
  <c r="CD21" i="24"/>
  <c r="CD72" i="24"/>
  <c r="CD56" i="24"/>
  <c r="CD40" i="24"/>
  <c r="CD24" i="24"/>
  <c r="CD8" i="24"/>
  <c r="CD31" i="24"/>
  <c r="CD15" i="24"/>
  <c r="CD86" i="24"/>
  <c r="CD38" i="24"/>
  <c r="CD22" i="24"/>
  <c r="CD85" i="24"/>
  <c r="CD25" i="24"/>
  <c r="CD9" i="24"/>
  <c r="CD76" i="24"/>
  <c r="CD44" i="24"/>
  <c r="CD28" i="24"/>
  <c r="CD12" i="24"/>
  <c r="CD99" i="24"/>
  <c r="CD83" i="24"/>
  <c r="CD35" i="24"/>
  <c r="CD19" i="24"/>
  <c r="CD26" i="24"/>
  <c r="CD10" i="24"/>
  <c r="Q285" i="24"/>
  <c r="Q299" i="24"/>
  <c r="Q264" i="24"/>
  <c r="CD65" i="24"/>
  <c r="CD33" i="24"/>
  <c r="CD17" i="24"/>
  <c r="CD52" i="24"/>
  <c r="CD101" i="24"/>
  <c r="CD75" i="24"/>
  <c r="CD43" i="24"/>
  <c r="CD27" i="24"/>
  <c r="CD11" i="24"/>
  <c r="CD69" i="24"/>
  <c r="CD66" i="24"/>
  <c r="CD34" i="24"/>
  <c r="CD18" i="24"/>
  <c r="Q237" i="24"/>
  <c r="Q269" i="24"/>
  <c r="Q251" i="24"/>
  <c r="Q219" i="24"/>
  <c r="Q296" i="24"/>
  <c r="Q302" i="24"/>
  <c r="Q221" i="24"/>
  <c r="Q253" i="24"/>
  <c r="Q266" i="24"/>
  <c r="CD96" i="24"/>
  <c r="CD64" i="24"/>
  <c r="CD32" i="24"/>
  <c r="CD16" i="24"/>
  <c r="CD103" i="24"/>
  <c r="CD71" i="24"/>
  <c r="CD55" i="24"/>
  <c r="CD39" i="24"/>
  <c r="CD23" i="24"/>
  <c r="CD7" i="24"/>
  <c r="CD53" i="24"/>
  <c r="CD46" i="24"/>
  <c r="CD30" i="24"/>
  <c r="Q267" i="24"/>
  <c r="Q232" i="24"/>
  <c r="Q270" i="24"/>
  <c r="Q315" i="24"/>
  <c r="Q303" i="24"/>
  <c r="Q316" i="24"/>
  <c r="Q278" i="24"/>
  <c r="Q241" i="24"/>
  <c r="Q239" i="24"/>
  <c r="Q223" i="24"/>
  <c r="Q287" i="24"/>
  <c r="Q252" i="24"/>
  <c r="Q262" i="24"/>
  <c r="Q314" i="24"/>
  <c r="Q271" i="24"/>
  <c r="Q236" i="24"/>
  <c r="Q301" i="24"/>
  <c r="Q250" i="24"/>
  <c r="Q280" i="24"/>
  <c r="Q218" i="24"/>
  <c r="Q306" i="24"/>
  <c r="Q295" i="24"/>
  <c r="Q249" i="24"/>
  <c r="Q313" i="24"/>
  <c r="Q260" i="24"/>
  <c r="Q281" i="24"/>
  <c r="Q242" i="24"/>
  <c r="Q220" i="24"/>
  <c r="Q308" i="24"/>
  <c r="Q273" i="24"/>
  <c r="Q305" i="24"/>
  <c r="Q234" i="24"/>
  <c r="Q298" i="24"/>
  <c r="Q268" i="24"/>
  <c r="Q244" i="24"/>
  <c r="Q297" i="24"/>
  <c r="Q258" i="24"/>
  <c r="Q311" i="24"/>
  <c r="Q294" i="24"/>
  <c r="Q231" i="24"/>
  <c r="Q247" i="24"/>
  <c r="Q276" i="24"/>
  <c r="P189" i="24"/>
  <c r="Q189" i="24"/>
  <c r="P124" i="24"/>
  <c r="Q124" i="24"/>
  <c r="P156" i="24"/>
  <c r="Q156" i="24"/>
  <c r="P193" i="24"/>
  <c r="Q193" i="24"/>
  <c r="Q217" i="24"/>
  <c r="Q275" i="24"/>
  <c r="Q240" i="24"/>
  <c r="Q304" i="24"/>
  <c r="Q245" i="24"/>
  <c r="Q238" i="24"/>
  <c r="P160" i="24"/>
  <c r="Q160" i="24"/>
  <c r="P143" i="24"/>
  <c r="Q143" i="24"/>
  <c r="P138" i="24"/>
  <c r="Q138" i="24"/>
  <c r="P140" i="24"/>
  <c r="Q140" i="24"/>
  <c r="P164" i="24"/>
  <c r="Q164" i="24"/>
  <c r="P121" i="24"/>
  <c r="Q121" i="24"/>
  <c r="P117" i="24"/>
  <c r="Q117" i="24"/>
  <c r="P175" i="24"/>
  <c r="Q175" i="24"/>
  <c r="P114" i="24"/>
  <c r="Q114" i="24"/>
  <c r="P132" i="24"/>
  <c r="Q132" i="24"/>
  <c r="P176" i="24"/>
  <c r="Q176" i="24"/>
  <c r="P120" i="24"/>
  <c r="Q120" i="24"/>
  <c r="P209" i="24"/>
  <c r="Q209" i="24"/>
  <c r="P191" i="24"/>
  <c r="Q191" i="24"/>
  <c r="P204" i="24"/>
  <c r="Q204" i="24"/>
  <c r="P147" i="24"/>
  <c r="Q147" i="24"/>
  <c r="P178" i="24"/>
  <c r="Q178" i="24"/>
  <c r="P151" i="24"/>
  <c r="Q151" i="24"/>
  <c r="P180" i="24"/>
  <c r="Q180" i="24"/>
  <c r="Q246" i="24"/>
  <c r="Q224" i="24"/>
  <c r="Q293" i="24"/>
  <c r="Q286" i="24"/>
  <c r="P141" i="24"/>
  <c r="Q141" i="24"/>
  <c r="P174" i="24"/>
  <c r="Q174" i="24"/>
  <c r="P133" i="24"/>
  <c r="Q133" i="24"/>
  <c r="P171" i="24"/>
  <c r="Q171" i="24"/>
  <c r="P111" i="24"/>
  <c r="Q111" i="24"/>
  <c r="P185" i="24"/>
  <c r="Q185" i="24"/>
  <c r="P173" i="24"/>
  <c r="Q173" i="24"/>
  <c r="P127" i="24"/>
  <c r="Q127" i="24"/>
  <c r="P198" i="24"/>
  <c r="Q198" i="24"/>
  <c r="P202" i="24"/>
  <c r="Q202" i="24"/>
  <c r="P153" i="24"/>
  <c r="Q153" i="24"/>
  <c r="P166" i="24"/>
  <c r="Q166" i="24"/>
  <c r="P129" i="24"/>
  <c r="Q129" i="24"/>
  <c r="P146" i="24"/>
  <c r="Q146" i="24"/>
  <c r="P113" i="24"/>
  <c r="Q113" i="24"/>
  <c r="P184" i="24"/>
  <c r="Q184" i="24"/>
  <c r="P168" i="24"/>
  <c r="Q168" i="24"/>
  <c r="P130" i="24"/>
  <c r="Q130" i="24"/>
  <c r="Q227" i="24"/>
  <c r="Q259" i="24"/>
  <c r="Q288" i="24"/>
  <c r="Q307" i="24"/>
  <c r="Q229" i="24"/>
  <c r="Q261" i="24"/>
  <c r="P195" i="24"/>
  <c r="Q195" i="24"/>
  <c r="P139" i="24"/>
  <c r="Q139" i="24"/>
  <c r="P190" i="24"/>
  <c r="Q190" i="24"/>
  <c r="P197" i="24"/>
  <c r="Q197" i="24"/>
  <c r="P118" i="24"/>
  <c r="Q118" i="24"/>
  <c r="P135" i="24"/>
  <c r="Q135" i="24"/>
  <c r="P158" i="24"/>
  <c r="Q158" i="24"/>
  <c r="P126" i="24"/>
  <c r="Q126" i="24"/>
  <c r="P200" i="24"/>
  <c r="Q200" i="24"/>
  <c r="P144" i="24"/>
  <c r="Q144" i="24"/>
  <c r="U203" i="24"/>
  <c r="U179" i="24"/>
  <c r="U162" i="24"/>
  <c r="U116" i="24"/>
  <c r="U165" i="24"/>
  <c r="U141" i="24"/>
  <c r="U206" i="24"/>
  <c r="V206" i="24" s="1"/>
  <c r="U119" i="24"/>
  <c r="V119" i="24" s="1"/>
  <c r="U169" i="24"/>
  <c r="U208" i="24"/>
  <c r="U192" i="24"/>
  <c r="U187" i="24"/>
  <c r="U125" i="24"/>
  <c r="U163" i="24"/>
  <c r="U142" i="24"/>
  <c r="V142" i="24" s="1"/>
  <c r="U183" i="24"/>
  <c r="U137" i="24"/>
  <c r="V137" i="24" s="1"/>
  <c r="U128" i="24"/>
  <c r="U194" i="24"/>
  <c r="U115" i="24"/>
  <c r="U161" i="24"/>
  <c r="V161" i="24" s="1"/>
  <c r="U122" i="24"/>
  <c r="V122" i="24" s="1"/>
  <c r="U188" i="24"/>
  <c r="V188" i="24" s="1"/>
  <c r="U172" i="24"/>
  <c r="U207" i="24"/>
  <c r="U186" i="24"/>
  <c r="U170" i="24"/>
  <c r="V170" i="24" s="1"/>
  <c r="U154" i="24"/>
  <c r="U167" i="24"/>
  <c r="U149" i="24"/>
  <c r="V149" i="24" s="1"/>
  <c r="U159" i="24"/>
  <c r="U112" i="24"/>
  <c r="U205" i="24"/>
  <c r="U181" i="24"/>
  <c r="V181" i="24" s="1"/>
  <c r="U157" i="24"/>
  <c r="V157" i="24" s="1"/>
  <c r="U184" i="24"/>
  <c r="V184" i="24" s="1"/>
  <c r="U152" i="24"/>
  <c r="U136" i="24"/>
  <c r="V136" i="24" s="1"/>
  <c r="U199" i="24"/>
  <c r="U131" i="24"/>
  <c r="U182" i="24"/>
  <c r="V182" i="24" s="1"/>
  <c r="U150" i="24"/>
  <c r="V150" i="24" s="1"/>
  <c r="U134" i="24"/>
  <c r="V134" i="24" s="1"/>
  <c r="U155" i="24"/>
  <c r="V155" i="24" s="1"/>
  <c r="U123" i="24"/>
  <c r="U145" i="24"/>
  <c r="V145" i="24" s="1"/>
  <c r="U210" i="24"/>
  <c r="V210" i="24" s="1"/>
  <c r="U201" i="24"/>
  <c r="U177" i="24"/>
  <c r="V177" i="24" s="1"/>
  <c r="U196" i="24"/>
  <c r="V196" i="24" s="1"/>
  <c r="U148" i="24"/>
  <c r="V148" i="24" s="1"/>
  <c r="T117" i="25"/>
  <c r="T126" i="25"/>
  <c r="T127" i="25"/>
  <c r="T133" i="25"/>
  <c r="T141" i="25"/>
  <c r="T149" i="25"/>
  <c r="T157" i="25"/>
  <c r="T165" i="25"/>
  <c r="T173" i="25"/>
  <c r="T181" i="25"/>
  <c r="T189" i="25"/>
  <c r="T197" i="25"/>
  <c r="T142" i="25"/>
  <c r="T158" i="25"/>
  <c r="T190" i="25"/>
  <c r="T278" i="25"/>
  <c r="T139" i="25"/>
  <c r="T155" i="25"/>
  <c r="T171" i="25"/>
  <c r="T187" i="25"/>
  <c r="T209" i="25"/>
  <c r="T203" i="25"/>
  <c r="T258" i="25"/>
  <c r="T208" i="25"/>
  <c r="T245" i="25"/>
  <c r="T316" i="25"/>
  <c r="T281" i="25"/>
  <c r="T288" i="25"/>
  <c r="T306" i="25"/>
  <c r="T125" i="25"/>
  <c r="T128" i="25"/>
  <c r="T176" i="25"/>
  <c r="T146" i="25"/>
  <c r="T260" i="25"/>
  <c r="T271" i="25"/>
  <c r="T310" i="25"/>
  <c r="T121" i="25"/>
  <c r="T124" i="25"/>
  <c r="T118" i="25"/>
  <c r="T273" i="25"/>
  <c r="T145" i="25"/>
  <c r="T169" i="25"/>
  <c r="T177" i="25"/>
  <c r="T150" i="25"/>
  <c r="T198" i="25"/>
  <c r="T229" i="25"/>
  <c r="T131" i="25"/>
  <c r="T147" i="25"/>
  <c r="T163" i="25"/>
  <c r="T195" i="25"/>
  <c r="T205" i="25"/>
  <c r="T234" i="25"/>
  <c r="T266" i="25"/>
  <c r="T200" i="25"/>
  <c r="T280" i="25"/>
  <c r="T275" i="25"/>
  <c r="T314" i="25"/>
  <c r="T152" i="25"/>
  <c r="T184" i="25"/>
  <c r="T162" i="25"/>
  <c r="T202" i="25"/>
  <c r="T207" i="25"/>
  <c r="T292" i="25"/>
  <c r="T113" i="25"/>
  <c r="T122" i="25"/>
  <c r="T277" i="25"/>
  <c r="T132" i="25"/>
  <c r="T148" i="25"/>
  <c r="T156" i="25"/>
  <c r="T172" i="25"/>
  <c r="T180" i="25"/>
  <c r="T188" i="25"/>
  <c r="T138" i="25"/>
  <c r="T170" i="25"/>
  <c r="T256" i="25"/>
  <c r="T151" i="25"/>
  <c r="T183" i="25"/>
  <c r="T204" i="25"/>
  <c r="T309" i="25"/>
  <c r="T279" i="25"/>
  <c r="T120" i="25"/>
  <c r="T114" i="25"/>
  <c r="T168" i="25"/>
  <c r="T192" i="25"/>
  <c r="U204" i="24"/>
  <c r="V204" i="24" s="1"/>
  <c r="U120" i="24"/>
  <c r="V120" i="24" s="1"/>
  <c r="U209" i="24"/>
  <c r="V209" i="24" s="1"/>
  <c r="U175" i="24"/>
  <c r="U113" i="24"/>
  <c r="U202" i="24"/>
  <c r="V202" i="24" s="1"/>
  <c r="U198" i="24"/>
  <c r="U153" i="24"/>
  <c r="V153" i="24" s="1"/>
  <c r="U176" i="24"/>
  <c r="T111" i="25"/>
  <c r="T123" i="25"/>
  <c r="T140" i="25"/>
  <c r="T167" i="25"/>
  <c r="T206" i="25"/>
  <c r="T274" i="25"/>
  <c r="T136" i="25"/>
  <c r="T144" i="25"/>
  <c r="U191" i="24"/>
  <c r="U166" i="24"/>
  <c r="V166" i="24" s="1"/>
  <c r="U173" i="24"/>
  <c r="U127" i="24"/>
  <c r="V127" i="24" s="1"/>
  <c r="U114" i="24"/>
  <c r="V114" i="24" s="1"/>
  <c r="U132" i="24"/>
  <c r="T112" i="25"/>
  <c r="T196" i="25"/>
  <c r="T186" i="25"/>
  <c r="T135" i="25"/>
  <c r="T199" i="25"/>
  <c r="T143" i="25"/>
  <c r="T210" i="25"/>
  <c r="U117" i="24"/>
  <c r="V117" i="24" s="1"/>
  <c r="U185" i="24"/>
  <c r="T129" i="25"/>
  <c r="T153" i="25"/>
  <c r="T166" i="25"/>
  <c r="T179" i="25"/>
  <c r="T222" i="25"/>
  <c r="T230" i="25"/>
  <c r="T217" i="25"/>
  <c r="T232" i="25"/>
  <c r="T240" i="25"/>
  <c r="T264" i="25"/>
  <c r="T224" i="25"/>
  <c r="T308" i="25"/>
  <c r="T238" i="25"/>
  <c r="T257" i="25"/>
  <c r="T294" i="25"/>
  <c r="T284" i="25"/>
  <c r="T300" i="25"/>
  <c r="T304" i="25"/>
  <c r="T225" i="25"/>
  <c r="T252" i="25"/>
  <c r="T246" i="25"/>
  <c r="T299" i="25"/>
  <c r="T276" i="25"/>
  <c r="T227" i="25"/>
  <c r="T270" i="25"/>
  <c r="T220" i="25"/>
  <c r="T298" i="25"/>
  <c r="T250" i="25"/>
  <c r="T286" i="25"/>
  <c r="T289" i="25"/>
  <c r="T311" i="25"/>
  <c r="T295" i="25"/>
  <c r="T243" i="25"/>
  <c r="T251" i="25"/>
  <c r="T228" i="25"/>
  <c r="T305" i="25"/>
  <c r="T219" i="25"/>
  <c r="T239" i="25"/>
  <c r="T263" i="25"/>
  <c r="T253" i="25"/>
  <c r="T303" i="25"/>
  <c r="U129" i="24"/>
  <c r="V129" i="24" s="1"/>
  <c r="U146" i="24"/>
  <c r="V146" i="24" s="1"/>
  <c r="U190" i="24"/>
  <c r="V190" i="24" s="1"/>
  <c r="U250" i="24"/>
  <c r="V250" i="24" s="1"/>
  <c r="U218" i="24"/>
  <c r="U301" i="24"/>
  <c r="V301" i="24" s="1"/>
  <c r="U285" i="24"/>
  <c r="V285" i="24" s="1"/>
  <c r="U269" i="24"/>
  <c r="V269" i="24" s="1"/>
  <c r="U253" i="24"/>
  <c r="V253" i="24" s="1"/>
  <c r="U237" i="24"/>
  <c r="U221" i="24"/>
  <c r="V221" i="24" s="1"/>
  <c r="U266" i="24"/>
  <c r="V266" i="24" s="1"/>
  <c r="U296" i="24"/>
  <c r="U280" i="24"/>
  <c r="V280" i="24" s="1"/>
  <c r="U264" i="24"/>
  <c r="U232" i="24"/>
  <c r="U143" i="24"/>
  <c r="U302" i="24"/>
  <c r="U270" i="24"/>
  <c r="U126" i="24"/>
  <c r="U144" i="24"/>
  <c r="V144" i="24" s="1"/>
  <c r="U315" i="24"/>
  <c r="V315" i="24" s="1"/>
  <c r="U299" i="24"/>
  <c r="U267" i="24"/>
  <c r="U251" i="24"/>
  <c r="V251" i="24" s="1"/>
  <c r="U219" i="24"/>
  <c r="V219" i="24" s="1"/>
  <c r="T164" i="25"/>
  <c r="T154" i="25"/>
  <c r="T248" i="25"/>
  <c r="T254" i="25"/>
  <c r="T283" i="25"/>
  <c r="T241" i="25"/>
  <c r="T293" i="25"/>
  <c r="T315" i="25"/>
  <c r="U158" i="24"/>
  <c r="U197" i="24"/>
  <c r="U135" i="24"/>
  <c r="V135" i="24" s="1"/>
  <c r="U189" i="24"/>
  <c r="T231" i="25"/>
  <c r="T290" i="25"/>
  <c r="T221" i="25"/>
  <c r="T242" i="25"/>
  <c r="T261" i="25"/>
  <c r="T272" i="25"/>
  <c r="T297" i="25"/>
  <c r="U147" i="24"/>
  <c r="U138" i="24"/>
  <c r="V138" i="24" s="1"/>
  <c r="U118" i="24"/>
  <c r="V118" i="24" s="1"/>
  <c r="U200" i="24"/>
  <c r="T236" i="25"/>
  <c r="T268" i="25"/>
  <c r="T282" i="25"/>
  <c r="T262" i="25"/>
  <c r="T233" i="25"/>
  <c r="T249" i="25"/>
  <c r="T265" i="25"/>
  <c r="T285" i="25"/>
  <c r="T312" i="25"/>
  <c r="T307" i="25"/>
  <c r="T302" i="25"/>
  <c r="N216" i="24"/>
  <c r="Q216" i="24" s="1"/>
  <c r="U216" i="24"/>
  <c r="V216" i="24" s="1"/>
  <c r="U312" i="24"/>
  <c r="U235" i="24"/>
  <c r="J77" i="23"/>
  <c r="L77" i="23" s="1"/>
  <c r="U294" i="24"/>
  <c r="U242" i="24"/>
  <c r="V242" i="24" s="1"/>
  <c r="U174" i="24"/>
  <c r="V174" i="24" s="1"/>
  <c r="U313" i="24"/>
  <c r="V313" i="24" s="1"/>
  <c r="U297" i="24"/>
  <c r="V297" i="24" s="1"/>
  <c r="U281" i="24"/>
  <c r="V281" i="24" s="1"/>
  <c r="U265" i="24"/>
  <c r="V265" i="24" s="1"/>
  <c r="U249" i="24"/>
  <c r="V249" i="24" s="1"/>
  <c r="U233" i="24"/>
  <c r="V233" i="24" s="1"/>
  <c r="U306" i="24"/>
  <c r="U254" i="24"/>
  <c r="U308" i="24"/>
  <c r="U292" i="24"/>
  <c r="V292" i="24" s="1"/>
  <c r="U276" i="24"/>
  <c r="U260" i="24"/>
  <c r="V260" i="24" s="1"/>
  <c r="U244" i="24"/>
  <c r="U228" i="24"/>
  <c r="V228" i="24" s="1"/>
  <c r="U171" i="24"/>
  <c r="V171" i="24" s="1"/>
  <c r="U298" i="24"/>
  <c r="V298" i="24" s="1"/>
  <c r="U258" i="24"/>
  <c r="V258" i="24" s="1"/>
  <c r="U156" i="24"/>
  <c r="U140" i="24"/>
  <c r="U311" i="24"/>
  <c r="V311" i="24" s="1"/>
  <c r="U295" i="24"/>
  <c r="V295" i="24" s="1"/>
  <c r="U279" i="24"/>
  <c r="U263" i="24"/>
  <c r="V263" i="24" s="1"/>
  <c r="U247" i="24"/>
  <c r="U231" i="24"/>
  <c r="T223" i="25"/>
  <c r="T235" i="25"/>
  <c r="T259" i="25"/>
  <c r="T267" i="25"/>
  <c r="T291" i="25"/>
  <c r="T301" i="25"/>
  <c r="O216" i="25"/>
  <c r="S216" i="25" s="1"/>
  <c r="K216" i="25" s="1"/>
  <c r="T216" i="25"/>
  <c r="U216" i="25" s="1"/>
  <c r="U283" i="24"/>
  <c r="V283" i="24" s="1"/>
  <c r="U282" i="24"/>
  <c r="V282" i="24" s="1"/>
  <c r="U226" i="24"/>
  <c r="V226" i="24" s="1"/>
  <c r="U309" i="24"/>
  <c r="U293" i="24"/>
  <c r="V293" i="24" s="1"/>
  <c r="U277" i="24"/>
  <c r="V277" i="24" s="1"/>
  <c r="U261" i="24"/>
  <c r="U245" i="24"/>
  <c r="U229" i="24"/>
  <c r="V229" i="24" s="1"/>
  <c r="U290" i="24"/>
  <c r="V290" i="24" s="1"/>
  <c r="U238" i="24"/>
  <c r="V238" i="24" s="1"/>
  <c r="U133" i="24"/>
  <c r="U304" i="24"/>
  <c r="U288" i="24"/>
  <c r="V288" i="24" s="1"/>
  <c r="U272" i="24"/>
  <c r="V272" i="24" s="1"/>
  <c r="U256" i="24"/>
  <c r="U240" i="24"/>
  <c r="V240" i="24" s="1"/>
  <c r="U224" i="24"/>
  <c r="V224" i="24" s="1"/>
  <c r="U217" i="24"/>
  <c r="V217" i="24" s="1"/>
  <c r="U286" i="24"/>
  <c r="U246" i="24"/>
  <c r="U307" i="24"/>
  <c r="V307" i="24" s="1"/>
  <c r="U291" i="24"/>
  <c r="V291" i="24" s="1"/>
  <c r="U275" i="24"/>
  <c r="V275" i="24" s="1"/>
  <c r="U259" i="24"/>
  <c r="V259" i="24" s="1"/>
  <c r="U243" i="24"/>
  <c r="U227" i="24"/>
  <c r="T218" i="25"/>
  <c r="T226" i="25"/>
  <c r="T269" i="25"/>
  <c r="T115" i="25"/>
  <c r="T194" i="25"/>
  <c r="T244" i="25"/>
  <c r="T287" i="25"/>
  <c r="T175" i="25"/>
  <c r="T191" i="25"/>
  <c r="U310" i="24"/>
  <c r="U248" i="24"/>
  <c r="V248" i="24" s="1"/>
  <c r="U222" i="24"/>
  <c r="U262" i="24"/>
  <c r="U111" i="24"/>
  <c r="U305" i="24"/>
  <c r="V305" i="24" s="1"/>
  <c r="U289" i="24"/>
  <c r="V289" i="24" s="1"/>
  <c r="U273" i="24"/>
  <c r="V273" i="24" s="1"/>
  <c r="U257" i="24"/>
  <c r="V257" i="24" s="1"/>
  <c r="U241" i="24"/>
  <c r="V241" i="24" s="1"/>
  <c r="U225" i="24"/>
  <c r="V225" i="24" s="1"/>
  <c r="U278" i="24"/>
  <c r="V278" i="24" s="1"/>
  <c r="U230" i="24"/>
  <c r="V230" i="24" s="1"/>
  <c r="U316" i="24"/>
  <c r="U300" i="24"/>
  <c r="U284" i="24"/>
  <c r="U268" i="24"/>
  <c r="V268" i="24" s="1"/>
  <c r="U252" i="24"/>
  <c r="V252" i="24" s="1"/>
  <c r="U236" i="24"/>
  <c r="V236" i="24" s="1"/>
  <c r="U220" i="24"/>
  <c r="V220" i="24" s="1"/>
  <c r="U314" i="24"/>
  <c r="U274" i="24"/>
  <c r="U234" i="24"/>
  <c r="V234" i="24" s="1"/>
  <c r="U303" i="24"/>
  <c r="V303" i="24" s="1"/>
  <c r="U287" i="24"/>
  <c r="V287" i="24" s="1"/>
  <c r="U271" i="24"/>
  <c r="V271" i="24" s="1"/>
  <c r="U255" i="24"/>
  <c r="U239" i="24"/>
  <c r="V239" i="24" s="1"/>
  <c r="U223" i="24"/>
  <c r="T119" i="25"/>
  <c r="T137" i="25"/>
  <c r="T193" i="25"/>
  <c r="T134" i="25"/>
  <c r="T247" i="25"/>
  <c r="T255" i="25"/>
  <c r="T237" i="25"/>
  <c r="T313" i="25"/>
  <c r="T296" i="25"/>
  <c r="BQ65" i="24"/>
  <c r="U65" i="24"/>
  <c r="V65" i="24" s="1"/>
  <c r="BQ17" i="24"/>
  <c r="U17" i="24"/>
  <c r="V17" i="24" s="1"/>
  <c r="BQ68" i="24"/>
  <c r="U68" i="24"/>
  <c r="BQ20" i="24"/>
  <c r="U20" i="24"/>
  <c r="BQ91" i="24"/>
  <c r="U91" i="24"/>
  <c r="BQ43" i="24"/>
  <c r="U43" i="24"/>
  <c r="BQ69" i="24"/>
  <c r="U69" i="24"/>
  <c r="V69" i="24" s="1"/>
  <c r="BQ66" i="24"/>
  <c r="U66" i="24"/>
  <c r="BQ50" i="24"/>
  <c r="U50" i="24"/>
  <c r="BQ18" i="24"/>
  <c r="U18" i="24"/>
  <c r="BQ97" i="24"/>
  <c r="U97" i="24"/>
  <c r="V97" i="24" s="1"/>
  <c r="BQ57" i="24"/>
  <c r="U57" i="24"/>
  <c r="BQ29" i="24"/>
  <c r="U29" i="24"/>
  <c r="BQ13" i="24"/>
  <c r="U13" i="24"/>
  <c r="BQ96" i="24"/>
  <c r="U96" i="24"/>
  <c r="BQ80" i="24"/>
  <c r="U80" i="24"/>
  <c r="V80" i="24" s="1"/>
  <c r="BQ64" i="24"/>
  <c r="U64" i="24"/>
  <c r="BQ48" i="24"/>
  <c r="U48" i="24"/>
  <c r="BQ32" i="24"/>
  <c r="U32" i="24"/>
  <c r="V32" i="24" s="1"/>
  <c r="BQ16" i="24"/>
  <c r="U16" i="24"/>
  <c r="BQ89" i="24"/>
  <c r="U89" i="24"/>
  <c r="V89" i="24" s="1"/>
  <c r="BQ103" i="24"/>
  <c r="U103" i="24"/>
  <c r="BQ87" i="24"/>
  <c r="U87" i="24"/>
  <c r="BQ71" i="24"/>
  <c r="U71" i="24"/>
  <c r="BQ55" i="24"/>
  <c r="U55" i="24"/>
  <c r="V55" i="24" s="1"/>
  <c r="BQ39" i="24"/>
  <c r="U39" i="24"/>
  <c r="BQ23" i="24"/>
  <c r="U23" i="24"/>
  <c r="BQ7" i="24"/>
  <c r="U7" i="24"/>
  <c r="BQ53" i="24"/>
  <c r="U53" i="24"/>
  <c r="BQ94" i="24"/>
  <c r="U94" i="24"/>
  <c r="BQ78" i="24"/>
  <c r="U78" i="24"/>
  <c r="BQ62" i="24"/>
  <c r="U62" i="24"/>
  <c r="BQ46" i="24"/>
  <c r="U46" i="24"/>
  <c r="BQ30" i="24"/>
  <c r="U30" i="24"/>
  <c r="BQ14" i="24"/>
  <c r="U14" i="24"/>
  <c r="BQ105" i="24"/>
  <c r="U105" i="24"/>
  <c r="BQ100" i="24"/>
  <c r="U100" i="24"/>
  <c r="BQ52" i="24"/>
  <c r="U52" i="24"/>
  <c r="BQ101" i="24"/>
  <c r="U101" i="24"/>
  <c r="V101" i="24" s="1"/>
  <c r="BQ59" i="24"/>
  <c r="U59" i="24"/>
  <c r="V59" i="24" s="1"/>
  <c r="BQ11" i="24"/>
  <c r="U11" i="24"/>
  <c r="V11" i="24" s="1"/>
  <c r="BQ82" i="24"/>
  <c r="U82" i="24"/>
  <c r="BQ34" i="24"/>
  <c r="U34" i="24"/>
  <c r="BQ85" i="24"/>
  <c r="U85" i="24"/>
  <c r="BQ49" i="24"/>
  <c r="U49" i="24"/>
  <c r="BQ25" i="24"/>
  <c r="U25" i="24"/>
  <c r="BQ9" i="24"/>
  <c r="U9" i="24"/>
  <c r="BQ92" i="24"/>
  <c r="U92" i="24"/>
  <c r="BQ76" i="24"/>
  <c r="U76" i="24"/>
  <c r="BQ60" i="24"/>
  <c r="U60" i="24"/>
  <c r="BQ44" i="24"/>
  <c r="U44" i="24"/>
  <c r="V44" i="24" s="1"/>
  <c r="BQ28" i="24"/>
  <c r="U28" i="24"/>
  <c r="BQ12" i="24"/>
  <c r="U12" i="24"/>
  <c r="BQ73" i="24"/>
  <c r="U73" i="24"/>
  <c r="BQ99" i="24"/>
  <c r="U99" i="24"/>
  <c r="BQ83" i="24"/>
  <c r="U83" i="24"/>
  <c r="BQ67" i="24"/>
  <c r="U67" i="24"/>
  <c r="BQ51" i="24"/>
  <c r="U51" i="24"/>
  <c r="V51" i="24" s="1"/>
  <c r="BQ35" i="24"/>
  <c r="U35" i="24"/>
  <c r="BQ19" i="24"/>
  <c r="U19" i="24"/>
  <c r="BQ93" i="24"/>
  <c r="U93" i="24"/>
  <c r="BQ41" i="24"/>
  <c r="U41" i="24"/>
  <c r="BQ90" i="24"/>
  <c r="U90" i="24"/>
  <c r="BQ74" i="24"/>
  <c r="U74" i="24"/>
  <c r="BQ58" i="24"/>
  <c r="U58" i="24"/>
  <c r="BQ42" i="24"/>
  <c r="U42" i="24"/>
  <c r="BQ26" i="24"/>
  <c r="U26" i="24"/>
  <c r="BQ10" i="24"/>
  <c r="U10" i="24"/>
  <c r="BQ33" i="24"/>
  <c r="U33" i="24"/>
  <c r="BQ84" i="24"/>
  <c r="U84" i="24"/>
  <c r="BQ36" i="24"/>
  <c r="U36" i="24"/>
  <c r="V36" i="24" s="1"/>
  <c r="BQ37" i="24"/>
  <c r="U37" i="24"/>
  <c r="BQ75" i="24"/>
  <c r="U75" i="24"/>
  <c r="BQ27" i="24"/>
  <c r="U27" i="24"/>
  <c r="BQ98" i="24"/>
  <c r="U98" i="24"/>
  <c r="V98" i="24" s="1"/>
  <c r="BQ77" i="24"/>
  <c r="U77" i="24"/>
  <c r="BQ45" i="24"/>
  <c r="U45" i="24"/>
  <c r="BQ21" i="24"/>
  <c r="U21" i="24"/>
  <c r="BQ104" i="24"/>
  <c r="U104" i="24"/>
  <c r="BQ88" i="24"/>
  <c r="U88" i="24"/>
  <c r="BQ72" i="24"/>
  <c r="U72" i="24"/>
  <c r="BQ56" i="24"/>
  <c r="U56" i="24"/>
  <c r="V56" i="24" s="1"/>
  <c r="BQ40" i="24"/>
  <c r="U40" i="24"/>
  <c r="BQ24" i="24"/>
  <c r="U24" i="24"/>
  <c r="BQ8" i="24"/>
  <c r="U8" i="24"/>
  <c r="BQ61" i="24"/>
  <c r="U61" i="24"/>
  <c r="BQ95" i="24"/>
  <c r="U95" i="24"/>
  <c r="BQ79" i="24"/>
  <c r="U79" i="24"/>
  <c r="BQ63" i="24"/>
  <c r="U63" i="24"/>
  <c r="BQ47" i="24"/>
  <c r="U47" i="24"/>
  <c r="BQ31" i="24"/>
  <c r="U31" i="24"/>
  <c r="BQ15" i="24"/>
  <c r="U15" i="24"/>
  <c r="BQ81" i="24"/>
  <c r="U81" i="24"/>
  <c r="BQ102" i="24"/>
  <c r="U102" i="24"/>
  <c r="V102" i="24" s="1"/>
  <c r="BQ86" i="24"/>
  <c r="U86" i="24"/>
  <c r="BQ70" i="24"/>
  <c r="U70" i="24"/>
  <c r="V70" i="24" s="1"/>
  <c r="BQ54" i="24"/>
  <c r="U54" i="24"/>
  <c r="BQ38" i="24"/>
  <c r="U38" i="24"/>
  <c r="BQ22" i="24"/>
  <c r="U22" i="24"/>
  <c r="V22" i="24" s="1"/>
  <c r="BQ6" i="24"/>
  <c r="U6" i="24"/>
  <c r="BP26" i="25"/>
  <c r="T26" i="25"/>
  <c r="BP36" i="25"/>
  <c r="T36" i="25"/>
  <c r="BP46" i="25"/>
  <c r="T46" i="25"/>
  <c r="BP41" i="25"/>
  <c r="T41" i="25"/>
  <c r="BP81" i="25"/>
  <c r="T81" i="25"/>
  <c r="BP16" i="25"/>
  <c r="T16" i="25"/>
  <c r="BP32" i="25"/>
  <c r="T32" i="25"/>
  <c r="BP52" i="25"/>
  <c r="T52" i="25"/>
  <c r="BP68" i="25"/>
  <c r="T68" i="25"/>
  <c r="BP84" i="25"/>
  <c r="T84" i="25"/>
  <c r="BP66" i="25"/>
  <c r="T66" i="25"/>
  <c r="BP82" i="25"/>
  <c r="T82" i="25"/>
  <c r="BP9" i="25"/>
  <c r="T9" i="25"/>
  <c r="BP17" i="25"/>
  <c r="T17" i="25"/>
  <c r="BP49" i="25"/>
  <c r="T49" i="25"/>
  <c r="BP73" i="25"/>
  <c r="T73" i="25"/>
  <c r="BP23" i="25"/>
  <c r="T23" i="25"/>
  <c r="BP43" i="25"/>
  <c r="T43" i="25"/>
  <c r="BP59" i="25"/>
  <c r="T59" i="25"/>
  <c r="BP75" i="25"/>
  <c r="T75" i="25"/>
  <c r="BP94" i="25"/>
  <c r="T94" i="25"/>
  <c r="BP98" i="25"/>
  <c r="T98" i="25"/>
  <c r="BP102" i="25"/>
  <c r="T102" i="25"/>
  <c r="BP14" i="25"/>
  <c r="T14" i="25"/>
  <c r="BP30" i="25"/>
  <c r="T30" i="25"/>
  <c r="BP37" i="25"/>
  <c r="T37" i="25"/>
  <c r="BP50" i="25"/>
  <c r="T50" i="25"/>
  <c r="BP45" i="25"/>
  <c r="T45" i="25"/>
  <c r="BP89" i="25"/>
  <c r="T89" i="25"/>
  <c r="BP20" i="25"/>
  <c r="T20" i="25"/>
  <c r="BP40" i="25"/>
  <c r="T40" i="25"/>
  <c r="BP56" i="25"/>
  <c r="T56" i="25"/>
  <c r="BP72" i="25"/>
  <c r="T72" i="25"/>
  <c r="BP88" i="25"/>
  <c r="T88" i="25"/>
  <c r="BP70" i="25"/>
  <c r="T70" i="25"/>
  <c r="BP86" i="25"/>
  <c r="T86" i="25"/>
  <c r="BP10" i="25"/>
  <c r="T10" i="25"/>
  <c r="BP25" i="25"/>
  <c r="T25" i="25"/>
  <c r="BP57" i="25"/>
  <c r="T57" i="25"/>
  <c r="BP77" i="25"/>
  <c r="T77" i="25"/>
  <c r="BP27" i="25"/>
  <c r="T27" i="25"/>
  <c r="BP47" i="25"/>
  <c r="T47" i="25"/>
  <c r="BP63" i="25"/>
  <c r="T63" i="25"/>
  <c r="BP79" i="25"/>
  <c r="T79" i="25"/>
  <c r="BP91" i="25"/>
  <c r="T91" i="25"/>
  <c r="BP95" i="25"/>
  <c r="T95" i="25"/>
  <c r="BP99" i="25"/>
  <c r="T99" i="25"/>
  <c r="BP103" i="25"/>
  <c r="T103" i="25"/>
  <c r="BP18" i="25"/>
  <c r="T18" i="25"/>
  <c r="BP38" i="25"/>
  <c r="T38" i="25"/>
  <c r="BP58" i="25"/>
  <c r="T58" i="25"/>
  <c r="BP53" i="25"/>
  <c r="T53" i="25"/>
  <c r="BP24" i="25"/>
  <c r="T24" i="25"/>
  <c r="BP60" i="25"/>
  <c r="T60" i="25"/>
  <c r="BP76" i="25"/>
  <c r="T76" i="25"/>
  <c r="BP54" i="25"/>
  <c r="T54" i="25"/>
  <c r="BP74" i="25"/>
  <c r="T74" i="25"/>
  <c r="BP90" i="25"/>
  <c r="T90" i="25"/>
  <c r="BP11" i="25"/>
  <c r="T11" i="25"/>
  <c r="BP29" i="25"/>
  <c r="T29" i="25"/>
  <c r="BP61" i="25"/>
  <c r="T61" i="25"/>
  <c r="BP15" i="25"/>
  <c r="T15" i="25"/>
  <c r="BP31" i="25"/>
  <c r="T31" i="25"/>
  <c r="BP51" i="25"/>
  <c r="T51" i="25"/>
  <c r="BP67" i="25"/>
  <c r="T67" i="25"/>
  <c r="BP83" i="25"/>
  <c r="T83" i="25"/>
  <c r="BP92" i="25"/>
  <c r="T92" i="25"/>
  <c r="BP96" i="25"/>
  <c r="T96" i="25"/>
  <c r="BP100" i="25"/>
  <c r="T100" i="25"/>
  <c r="BP104" i="25"/>
  <c r="T104" i="25"/>
  <c r="BP34" i="25"/>
  <c r="T34" i="25"/>
  <c r="BP44" i="25"/>
  <c r="T44" i="25"/>
  <c r="BP85" i="25"/>
  <c r="T85" i="25"/>
  <c r="BP22" i="25"/>
  <c r="T22" i="25"/>
  <c r="BP35" i="25"/>
  <c r="T35" i="25"/>
  <c r="BP42" i="25"/>
  <c r="T42" i="25"/>
  <c r="BP21" i="25"/>
  <c r="T21" i="25"/>
  <c r="BP69" i="25"/>
  <c r="T69" i="25"/>
  <c r="BP12" i="25"/>
  <c r="T12" i="25"/>
  <c r="BP28" i="25"/>
  <c r="T28" i="25"/>
  <c r="BP48" i="25"/>
  <c r="T48" i="25"/>
  <c r="BP64" i="25"/>
  <c r="T64" i="25"/>
  <c r="BP80" i="25"/>
  <c r="T80" i="25"/>
  <c r="BP62" i="25"/>
  <c r="T62" i="25"/>
  <c r="BP78" i="25"/>
  <c r="T78" i="25"/>
  <c r="BP8" i="25"/>
  <c r="T8" i="25"/>
  <c r="BP13" i="25"/>
  <c r="T13" i="25"/>
  <c r="BP33" i="25"/>
  <c r="T33" i="25"/>
  <c r="BP65" i="25"/>
  <c r="T65" i="25"/>
  <c r="BP19" i="25"/>
  <c r="T19" i="25"/>
  <c r="BP39" i="25"/>
  <c r="T39" i="25"/>
  <c r="BP55" i="25"/>
  <c r="T55" i="25"/>
  <c r="BP71" i="25"/>
  <c r="T71" i="25"/>
  <c r="BP87" i="25"/>
  <c r="T87" i="25"/>
  <c r="BP93" i="25"/>
  <c r="T93" i="25"/>
  <c r="BP97" i="25"/>
  <c r="T97" i="25"/>
  <c r="BP101" i="25"/>
  <c r="T101" i="25"/>
  <c r="BP105" i="25"/>
  <c r="T105" i="25"/>
  <c r="U195" i="24"/>
  <c r="U124" i="24"/>
  <c r="U168" i="24"/>
  <c r="V168" i="24" s="1"/>
  <c r="T116" i="25"/>
  <c r="T174" i="25"/>
  <c r="T201" i="25"/>
  <c r="Q110" i="25"/>
  <c r="CE110" i="25" s="1"/>
  <c r="U121" i="24"/>
  <c r="V121" i="24" s="1"/>
  <c r="U151" i="24"/>
  <c r="V151" i="24" s="1"/>
  <c r="U130" i="24"/>
  <c r="V130" i="24" s="1"/>
  <c r="U180" i="24"/>
  <c r="U164" i="24"/>
  <c r="V164" i="24" s="1"/>
  <c r="T160" i="25"/>
  <c r="T130" i="25"/>
  <c r="T178" i="25"/>
  <c r="T159" i="25"/>
  <c r="U178" i="24"/>
  <c r="V178" i="24" s="1"/>
  <c r="U139" i="24"/>
  <c r="V139" i="24" s="1"/>
  <c r="U193" i="24"/>
  <c r="U160" i="24"/>
  <c r="T161" i="25"/>
  <c r="T185" i="25"/>
  <c r="T182" i="25"/>
  <c r="W44" i="2"/>
  <c r="D45" i="16" s="1"/>
  <c r="R10" i="25"/>
  <c r="R80" i="25"/>
  <c r="Q9" i="25"/>
  <c r="Q53" i="25"/>
  <c r="Q18" i="25"/>
  <c r="R146" i="25"/>
  <c r="Q57" i="25"/>
  <c r="R55" i="25"/>
  <c r="R113" i="25"/>
  <c r="Q94" i="25"/>
  <c r="R52" i="25"/>
  <c r="R93" i="25"/>
  <c r="Q12" i="25"/>
  <c r="Q118" i="25"/>
  <c r="R32" i="25"/>
  <c r="R59" i="25"/>
  <c r="R150" i="25"/>
  <c r="R104" i="25"/>
  <c r="Q111" i="25"/>
  <c r="Q89" i="25"/>
  <c r="Q165" i="25"/>
  <c r="R155" i="25"/>
  <c r="R65" i="25"/>
  <c r="Q13" i="25"/>
  <c r="R31" i="25"/>
  <c r="Q172" i="25"/>
  <c r="Q176" i="25"/>
  <c r="B25" i="2"/>
  <c r="Q66" i="25"/>
  <c r="R210" i="25"/>
  <c r="Q35" i="25"/>
  <c r="R69" i="25"/>
  <c r="R76" i="25"/>
  <c r="Q37" i="25"/>
  <c r="R51" i="25"/>
  <c r="R84" i="25"/>
  <c r="R105" i="25"/>
  <c r="Q120" i="25"/>
  <c r="Q99" i="25"/>
  <c r="Q29" i="25"/>
  <c r="Q98" i="25"/>
  <c r="R131" i="25"/>
  <c r="R54" i="25"/>
  <c r="Q137" i="25"/>
  <c r="Q34" i="25"/>
  <c r="R103" i="25"/>
  <c r="Q20" i="25"/>
  <c r="Q63" i="25"/>
  <c r="R33" i="25"/>
  <c r="R91" i="25"/>
  <c r="R119" i="25"/>
  <c r="R58" i="25"/>
  <c r="R6" i="25"/>
  <c r="R90" i="25"/>
  <c r="Q16" i="25"/>
  <c r="R41" i="25"/>
  <c r="Q81" i="25"/>
  <c r="R82" i="25"/>
  <c r="R44" i="25"/>
  <c r="R130" i="25"/>
  <c r="Q115" i="25"/>
  <c r="R209" i="25"/>
  <c r="Q50" i="25"/>
  <c r="Q64" i="25"/>
  <c r="R132" i="25"/>
  <c r="Q61" i="25"/>
  <c r="Q157" i="25"/>
  <c r="Q122" i="25"/>
  <c r="R127" i="25"/>
  <c r="Q182" i="25"/>
  <c r="R152" i="25"/>
  <c r="Q126" i="25"/>
  <c r="R144" i="25"/>
  <c r="R128" i="25"/>
  <c r="Q139" i="25"/>
  <c r="R161" i="25"/>
  <c r="Q133" i="25"/>
  <c r="Q158" i="25"/>
  <c r="Q167" i="25"/>
  <c r="R206" i="25"/>
  <c r="Q177" i="25"/>
  <c r="Q198" i="25"/>
  <c r="R185" i="25"/>
  <c r="R129" i="25"/>
  <c r="Q123" i="25"/>
  <c r="R123" i="25"/>
  <c r="R169" i="25"/>
  <c r="Q175" i="25"/>
  <c r="R124" i="25"/>
  <c r="Q204" i="25"/>
  <c r="R200" i="25"/>
  <c r="R162" i="25"/>
  <c r="R134" i="25"/>
  <c r="Q171" i="25"/>
  <c r="R148" i="25"/>
  <c r="R72" i="25"/>
  <c r="Q170" i="25"/>
  <c r="R142" i="25"/>
  <c r="Q71" i="25"/>
  <c r="R114" i="25"/>
  <c r="R203" i="25"/>
  <c r="Q62" i="25"/>
  <c r="Q159" i="25"/>
  <c r="R85" i="25"/>
  <c r="R87" i="25"/>
  <c r="Q156" i="25"/>
  <c r="R178" i="25"/>
  <c r="R163" i="25"/>
  <c r="Q192" i="25"/>
  <c r="R36" i="25"/>
  <c r="R100" i="25"/>
  <c r="R96" i="25"/>
  <c r="R183" i="25"/>
  <c r="R8" i="25"/>
  <c r="R38" i="25"/>
  <c r="Q7" i="25"/>
  <c r="R208" i="25"/>
  <c r="Q46" i="25"/>
  <c r="Q140" i="25"/>
  <c r="Q141" i="25"/>
  <c r="R207" i="25"/>
  <c r="R168" i="25"/>
  <c r="Q17" i="25"/>
  <c r="R153" i="25"/>
  <c r="Q39" i="25"/>
  <c r="Q73" i="25"/>
  <c r="R116" i="25"/>
  <c r="R86" i="25"/>
  <c r="R125" i="25"/>
  <c r="Q189" i="25"/>
  <c r="R75" i="25"/>
  <c r="R166" i="25"/>
  <c r="R188" i="25"/>
  <c r="R196" i="25"/>
  <c r="R22" i="25"/>
  <c r="R47" i="25"/>
  <c r="R70" i="25"/>
  <c r="R14" i="25"/>
  <c r="Q42" i="25"/>
  <c r="R143" i="25"/>
  <c r="R197" i="25"/>
  <c r="R195" i="25"/>
  <c r="R187" i="25"/>
  <c r="Q30" i="25"/>
  <c r="Q67" i="25"/>
  <c r="Q160" i="25"/>
  <c r="R74" i="25"/>
  <c r="R56" i="25"/>
  <c r="R83" i="25"/>
  <c r="Q101" i="25"/>
  <c r="Q79" i="25"/>
  <c r="Q194" i="25"/>
  <c r="R43" i="25"/>
  <c r="Q138" i="25"/>
  <c r="Q49" i="25"/>
  <c r="Q68" i="25"/>
  <c r="R45" i="25"/>
  <c r="R88" i="25"/>
  <c r="Q25" i="25"/>
  <c r="Q136" i="25"/>
  <c r="R190" i="25"/>
  <c r="R26" i="25"/>
  <c r="Q151" i="25"/>
  <c r="R179" i="25"/>
  <c r="Q24" i="25"/>
  <c r="Q173" i="25"/>
  <c r="Q112" i="25"/>
  <c r="Q48" i="25"/>
  <c r="Q147" i="25"/>
  <c r="R121" i="25"/>
  <c r="Q202" i="25"/>
  <c r="R40" i="25"/>
  <c r="Q191" i="25"/>
  <c r="Q149" i="25"/>
  <c r="R193" i="25"/>
  <c r="Q201" i="25"/>
  <c r="R205" i="25"/>
  <c r="R174" i="25"/>
  <c r="R181" i="25"/>
  <c r="R21" i="25"/>
  <c r="R15" i="25"/>
  <c r="Q60" i="25"/>
  <c r="Q180" i="25"/>
  <c r="R23" i="25"/>
  <c r="R164" i="25"/>
  <c r="R78" i="25"/>
  <c r="Q27" i="25"/>
  <c r="R117" i="25"/>
  <c r="R77" i="25"/>
  <c r="Q102" i="25"/>
  <c r="R92" i="25"/>
  <c r="Q199" i="25"/>
  <c r="R28" i="25"/>
  <c r="R184" i="25"/>
  <c r="R11" i="25"/>
  <c r="Q95" i="25"/>
  <c r="Q145" i="25"/>
  <c r="Q19" i="25"/>
  <c r="R97" i="25"/>
  <c r="Q135" i="25"/>
  <c r="R154" i="25"/>
  <c r="R186" i="25"/>
  <c r="P9" i="25"/>
  <c r="P13" i="25"/>
  <c r="P17" i="25"/>
  <c r="P21" i="25"/>
  <c r="P25" i="25"/>
  <c r="P29" i="25"/>
  <c r="P33" i="25"/>
  <c r="P37" i="25"/>
  <c r="P41" i="25"/>
  <c r="P45" i="25"/>
  <c r="P49" i="25"/>
  <c r="P53" i="25"/>
  <c r="P57" i="25"/>
  <c r="P61" i="25"/>
  <c r="P65" i="25"/>
  <c r="P69" i="25"/>
  <c r="P73" i="25"/>
  <c r="P77" i="25"/>
  <c r="P81" i="25"/>
  <c r="P85" i="25"/>
  <c r="P89" i="25"/>
  <c r="P93" i="25"/>
  <c r="P97" i="25"/>
  <c r="P101" i="25"/>
  <c r="P105" i="25"/>
  <c r="P113" i="25"/>
  <c r="P117" i="25"/>
  <c r="P121" i="25"/>
  <c r="P125" i="25"/>
  <c r="P129" i="25"/>
  <c r="P133" i="25"/>
  <c r="P137" i="25"/>
  <c r="P141" i="25"/>
  <c r="P145" i="25"/>
  <c r="P149" i="25"/>
  <c r="P153" i="25"/>
  <c r="P157" i="25"/>
  <c r="P161" i="25"/>
  <c r="P165" i="25"/>
  <c r="P169" i="25"/>
  <c r="P173" i="25"/>
  <c r="P177" i="25"/>
  <c r="P181" i="25"/>
  <c r="P185" i="25"/>
  <c r="P189" i="25"/>
  <c r="P193" i="25"/>
  <c r="P197" i="25"/>
  <c r="P201" i="25"/>
  <c r="P205" i="25"/>
  <c r="P209" i="25"/>
  <c r="P6" i="25"/>
  <c r="P10" i="25"/>
  <c r="P14" i="25"/>
  <c r="P18" i="25"/>
  <c r="P22" i="25"/>
  <c r="P26" i="25"/>
  <c r="P30" i="25"/>
  <c r="P34" i="25"/>
  <c r="P38" i="25"/>
  <c r="P42" i="25"/>
  <c r="P46" i="25"/>
  <c r="P50" i="25"/>
  <c r="P54" i="25"/>
  <c r="P58" i="25"/>
  <c r="P62" i="25"/>
  <c r="P66" i="25"/>
  <c r="P70" i="25"/>
  <c r="P74" i="25"/>
  <c r="P78" i="25"/>
  <c r="P82" i="25"/>
  <c r="P86" i="25"/>
  <c r="P90" i="25"/>
  <c r="P94" i="25"/>
  <c r="P98" i="25"/>
  <c r="P102" i="25"/>
  <c r="P114" i="25"/>
  <c r="P118" i="25"/>
  <c r="P122" i="25"/>
  <c r="P126" i="25"/>
  <c r="P130" i="25"/>
  <c r="P134" i="25"/>
  <c r="P138" i="25"/>
  <c r="P142" i="25"/>
  <c r="P146" i="25"/>
  <c r="P150" i="25"/>
  <c r="P154" i="25"/>
  <c r="P158" i="25"/>
  <c r="P162" i="25"/>
  <c r="P166" i="25"/>
  <c r="P170" i="25"/>
  <c r="P174" i="25"/>
  <c r="P178" i="25"/>
  <c r="P7" i="25"/>
  <c r="P11" i="25"/>
  <c r="P15" i="25"/>
  <c r="P19" i="25"/>
  <c r="P23" i="25"/>
  <c r="P27" i="25"/>
  <c r="P31" i="25"/>
  <c r="P35" i="25"/>
  <c r="P39" i="25"/>
  <c r="P43" i="25"/>
  <c r="P47" i="25"/>
  <c r="P51" i="25"/>
  <c r="P55" i="25"/>
  <c r="P59" i="25"/>
  <c r="P63" i="25"/>
  <c r="P67" i="25"/>
  <c r="P71" i="25"/>
  <c r="P75" i="25"/>
  <c r="P79" i="25"/>
  <c r="P83" i="25"/>
  <c r="P87" i="25"/>
  <c r="P91" i="25"/>
  <c r="P95" i="25"/>
  <c r="P99" i="25"/>
  <c r="P103" i="25"/>
  <c r="P111" i="25"/>
  <c r="P115" i="25"/>
  <c r="P119" i="25"/>
  <c r="P123" i="25"/>
  <c r="P127" i="25"/>
  <c r="P131" i="25"/>
  <c r="P135" i="25"/>
  <c r="P139" i="25"/>
  <c r="P143" i="25"/>
  <c r="P147" i="25"/>
  <c r="P151" i="25"/>
  <c r="P155" i="25"/>
  <c r="P159" i="25"/>
  <c r="P163" i="25"/>
  <c r="P167" i="25"/>
  <c r="P171" i="25"/>
  <c r="P175" i="25"/>
  <c r="P179" i="25"/>
  <c r="P183" i="25"/>
  <c r="P187" i="25"/>
  <c r="P191" i="25"/>
  <c r="P195" i="25"/>
  <c r="P199" i="25"/>
  <c r="P203" i="25"/>
  <c r="P207" i="25"/>
  <c r="P216" i="25"/>
  <c r="P220" i="25"/>
  <c r="P224" i="25"/>
  <c r="P228" i="25"/>
  <c r="P232" i="25"/>
  <c r="P236" i="25"/>
  <c r="P240" i="25"/>
  <c r="P244" i="25"/>
  <c r="P248" i="25"/>
  <c r="P252" i="25"/>
  <c r="P20" i="25"/>
  <c r="P36" i="25"/>
  <c r="P52" i="25"/>
  <c r="P68" i="25"/>
  <c r="P84" i="25"/>
  <c r="P100" i="25"/>
  <c r="P120" i="25"/>
  <c r="P136" i="25"/>
  <c r="P152" i="25"/>
  <c r="P168" i="25"/>
  <c r="P182" i="25"/>
  <c r="P190" i="25"/>
  <c r="P198" i="25"/>
  <c r="P206" i="25"/>
  <c r="P218" i="25"/>
  <c r="P223" i="25"/>
  <c r="P229" i="25"/>
  <c r="P234" i="25"/>
  <c r="P239" i="25"/>
  <c r="P245" i="25"/>
  <c r="P250" i="25"/>
  <c r="P255" i="25"/>
  <c r="P259" i="25"/>
  <c r="P263" i="25"/>
  <c r="P267" i="25"/>
  <c r="P271" i="25"/>
  <c r="P275" i="25"/>
  <c r="P279" i="25"/>
  <c r="P283" i="25"/>
  <c r="P287" i="25"/>
  <c r="P291" i="25"/>
  <c r="P295" i="25"/>
  <c r="P299" i="25"/>
  <c r="P303" i="25"/>
  <c r="P307" i="25"/>
  <c r="P311" i="25"/>
  <c r="P315" i="25"/>
  <c r="P8" i="25"/>
  <c r="P56" i="25"/>
  <c r="P88" i="25"/>
  <c r="P140" i="25"/>
  <c r="P184" i="25"/>
  <c r="P208" i="25"/>
  <c r="P225" i="25"/>
  <c r="P246" i="25"/>
  <c r="P260" i="25"/>
  <c r="P268" i="25"/>
  <c r="P280" i="25"/>
  <c r="P292" i="25"/>
  <c r="P304" i="25"/>
  <c r="P316" i="25"/>
  <c r="P12" i="25"/>
  <c r="P28" i="25"/>
  <c r="P44" i="25"/>
  <c r="P60" i="25"/>
  <c r="P76" i="25"/>
  <c r="P92" i="25"/>
  <c r="P112" i="25"/>
  <c r="P128" i="25"/>
  <c r="P144" i="25"/>
  <c r="P160" i="25"/>
  <c r="P176" i="25"/>
  <c r="P186" i="25"/>
  <c r="P194" i="25"/>
  <c r="P202" i="25"/>
  <c r="P210" i="25"/>
  <c r="P221" i="25"/>
  <c r="P226" i="25"/>
  <c r="P231" i="25"/>
  <c r="P237" i="25"/>
  <c r="P242" i="25"/>
  <c r="P247" i="25"/>
  <c r="P253" i="25"/>
  <c r="P257" i="25"/>
  <c r="P261" i="25"/>
  <c r="P265" i="25"/>
  <c r="P269" i="25"/>
  <c r="P273" i="25"/>
  <c r="P277" i="25"/>
  <c r="P281" i="25"/>
  <c r="P285" i="25"/>
  <c r="P289" i="25"/>
  <c r="P293" i="25"/>
  <c r="P297" i="25"/>
  <c r="P301" i="25"/>
  <c r="P305" i="25"/>
  <c r="P309" i="25"/>
  <c r="P313" i="25"/>
  <c r="P5" i="25"/>
  <c r="P302" i="25"/>
  <c r="P24" i="25"/>
  <c r="P72" i="25"/>
  <c r="P124" i="25"/>
  <c r="P156" i="25"/>
  <c r="P192" i="25"/>
  <c r="P219" i="25"/>
  <c r="P230" i="25"/>
  <c r="P241" i="25"/>
  <c r="P256" i="25"/>
  <c r="P264" i="25"/>
  <c r="P276" i="25"/>
  <c r="P284" i="25"/>
  <c r="P296" i="25"/>
  <c r="P308" i="25"/>
  <c r="P312" i="25"/>
  <c r="P16" i="25"/>
  <c r="P32" i="25"/>
  <c r="P48" i="25"/>
  <c r="P64" i="25"/>
  <c r="P80" i="25"/>
  <c r="P96" i="25"/>
  <c r="P116" i="25"/>
  <c r="P132" i="25"/>
  <c r="P148" i="25"/>
  <c r="P164" i="25"/>
  <c r="P180" i="25"/>
  <c r="P188" i="25"/>
  <c r="P196" i="25"/>
  <c r="P204" i="25"/>
  <c r="P217" i="25"/>
  <c r="P222" i="25"/>
  <c r="P227" i="25"/>
  <c r="P233" i="25"/>
  <c r="P238" i="25"/>
  <c r="P243" i="25"/>
  <c r="P249" i="25"/>
  <c r="P254" i="25"/>
  <c r="P258" i="25"/>
  <c r="P262" i="25"/>
  <c r="P266" i="25"/>
  <c r="P270" i="25"/>
  <c r="P274" i="25"/>
  <c r="P278" i="25"/>
  <c r="P282" i="25"/>
  <c r="P286" i="25"/>
  <c r="P290" i="25"/>
  <c r="P294" i="25"/>
  <c r="P298" i="25"/>
  <c r="P306" i="25"/>
  <c r="P310" i="25"/>
  <c r="P314" i="25"/>
  <c r="P40" i="25"/>
  <c r="P104" i="25"/>
  <c r="P172" i="25"/>
  <c r="P200" i="25"/>
  <c r="P235" i="25"/>
  <c r="P251" i="25"/>
  <c r="P272" i="25"/>
  <c r="P288" i="25"/>
  <c r="P300" i="25"/>
  <c r="O5" i="25"/>
  <c r="CB18" i="25"/>
  <c r="CB38" i="25"/>
  <c r="CB58" i="25"/>
  <c r="CB53" i="25"/>
  <c r="CB24" i="25"/>
  <c r="CB60" i="25"/>
  <c r="CB76" i="25"/>
  <c r="CB74" i="25"/>
  <c r="CB90" i="25"/>
  <c r="CB11" i="25"/>
  <c r="CB61" i="25"/>
  <c r="CB85" i="25"/>
  <c r="CB31" i="25"/>
  <c r="CB67" i="25"/>
  <c r="CB83" i="25"/>
  <c r="CB92" i="25"/>
  <c r="CB100" i="25"/>
  <c r="CB22" i="25"/>
  <c r="CB42" i="25"/>
  <c r="CB69" i="25"/>
  <c r="CB28" i="25"/>
  <c r="CB64" i="25"/>
  <c r="CB13" i="25"/>
  <c r="CB33" i="25"/>
  <c r="CB65" i="25"/>
  <c r="CB19" i="25"/>
  <c r="CB55" i="25"/>
  <c r="CB71" i="25"/>
  <c r="CB87" i="25"/>
  <c r="CB97" i="25"/>
  <c r="CB105" i="25"/>
  <c r="CB26" i="25"/>
  <c r="CB36" i="25"/>
  <c r="CB46" i="25"/>
  <c r="CB41" i="25"/>
  <c r="CB81" i="25"/>
  <c r="CB16" i="25"/>
  <c r="CB32" i="25"/>
  <c r="CB52" i="25"/>
  <c r="CB68" i="25"/>
  <c r="CB84" i="25"/>
  <c r="CB66" i="25"/>
  <c r="CB82" i="25"/>
  <c r="CB9" i="25"/>
  <c r="CB17" i="25"/>
  <c r="CB49" i="25"/>
  <c r="CB73" i="25"/>
  <c r="CB23" i="25"/>
  <c r="CB43" i="25"/>
  <c r="CB59" i="25"/>
  <c r="CB75" i="25"/>
  <c r="CB94" i="25"/>
  <c r="CB98" i="25"/>
  <c r="CB102" i="25"/>
  <c r="CB34" i="25"/>
  <c r="CB44" i="25"/>
  <c r="CB54" i="25"/>
  <c r="CB29" i="25"/>
  <c r="CB15" i="25"/>
  <c r="CB51" i="25"/>
  <c r="CB96" i="25"/>
  <c r="CB104" i="25"/>
  <c r="CB35" i="25"/>
  <c r="CB21" i="25"/>
  <c r="CB12" i="25"/>
  <c r="CB48" i="25"/>
  <c r="CB80" i="25"/>
  <c r="CB62" i="25"/>
  <c r="CB78" i="25"/>
  <c r="CB8" i="25"/>
  <c r="CB39" i="25"/>
  <c r="CB93" i="25"/>
  <c r="CB101" i="25"/>
  <c r="CB14" i="25"/>
  <c r="CB30" i="25"/>
  <c r="CB37" i="25"/>
  <c r="CB50" i="25"/>
  <c r="CB45" i="25"/>
  <c r="CB89" i="25"/>
  <c r="CB20" i="25"/>
  <c r="CB40" i="25"/>
  <c r="CB56" i="25"/>
  <c r="CB72" i="25"/>
  <c r="CB88" i="25"/>
  <c r="CB70" i="25"/>
  <c r="CB86" i="25"/>
  <c r="CB10" i="25"/>
  <c r="CB25" i="25"/>
  <c r="CB57" i="25"/>
  <c r="CB77" i="25"/>
  <c r="CB27" i="25"/>
  <c r="CB47" i="25"/>
  <c r="CB63" i="25"/>
  <c r="CB79" i="25"/>
  <c r="CB91" i="25"/>
  <c r="CB95" i="25"/>
  <c r="CB99" i="25"/>
  <c r="CB103" i="25"/>
  <c r="AY7" i="19"/>
  <c r="BD7" i="19" s="1"/>
  <c r="BN7" i="19"/>
  <c r="AY8" i="19"/>
  <c r="BC8" i="19" s="1"/>
  <c r="BN8" i="19"/>
  <c r="AY6" i="19"/>
  <c r="BJ6" i="19" s="1"/>
  <c r="BN6" i="19"/>
  <c r="AY9" i="19"/>
  <c r="BN9" i="19"/>
  <c r="R313" i="25"/>
  <c r="Q313" i="25"/>
  <c r="R256" i="25"/>
  <c r="Q256" i="25"/>
  <c r="R291" i="25"/>
  <c r="Q291" i="25"/>
  <c r="R259" i="25"/>
  <c r="Q259" i="25"/>
  <c r="R218" i="25"/>
  <c r="Q218" i="25"/>
  <c r="R226" i="25"/>
  <c r="Q226" i="25"/>
  <c r="R309" i="25"/>
  <c r="Q309" i="25"/>
  <c r="R277" i="25"/>
  <c r="Q277" i="25"/>
  <c r="R287" i="25"/>
  <c r="Q287" i="25"/>
  <c r="R255" i="25"/>
  <c r="Q255" i="25"/>
  <c r="R223" i="25"/>
  <c r="Q223" i="25"/>
  <c r="R296" i="25"/>
  <c r="Q296" i="25"/>
  <c r="R267" i="25"/>
  <c r="Q267" i="25"/>
  <c r="R235" i="25"/>
  <c r="Q235" i="25"/>
  <c r="R285" i="25"/>
  <c r="Q285" i="25"/>
  <c r="R221" i="25"/>
  <c r="Q221" i="25"/>
  <c r="R231" i="25"/>
  <c r="Q231" i="25"/>
  <c r="R281" i="25"/>
  <c r="Q281" i="25"/>
  <c r="R249" i="25"/>
  <c r="Q249" i="25"/>
  <c r="R217" i="25"/>
  <c r="Q217" i="25"/>
  <c r="R288" i="25"/>
  <c r="Q288" i="25"/>
  <c r="R224" i="25"/>
  <c r="Q224" i="25"/>
  <c r="R227" i="25"/>
  <c r="Q227" i="25"/>
  <c r="R298" i="25"/>
  <c r="Q298" i="25"/>
  <c r="R245" i="25"/>
  <c r="Q245" i="25"/>
  <c r="R316" i="25"/>
  <c r="Q316" i="25"/>
  <c r="R284" i="25"/>
  <c r="Q284" i="25"/>
  <c r="R252" i="25"/>
  <c r="Q252" i="25"/>
  <c r="R220" i="25"/>
  <c r="Q220" i="25"/>
  <c r="R294" i="25"/>
  <c r="Q294" i="25"/>
  <c r="R278" i="25"/>
  <c r="Q278" i="25"/>
  <c r="R270" i="25"/>
  <c r="Q270" i="25"/>
  <c r="R289" i="25"/>
  <c r="Q289" i="25"/>
  <c r="R257" i="25"/>
  <c r="Q257" i="25"/>
  <c r="R225" i="25"/>
  <c r="Q225" i="25"/>
  <c r="R264" i="25"/>
  <c r="Q264" i="25"/>
  <c r="R232" i="25"/>
  <c r="Q232" i="25"/>
  <c r="R299" i="25"/>
  <c r="Q299" i="25"/>
  <c r="R306" i="25"/>
  <c r="Q306" i="25"/>
  <c r="R250" i="25"/>
  <c r="Q250" i="25"/>
  <c r="R258" i="25"/>
  <c r="Q258" i="25"/>
  <c r="R301" i="25"/>
  <c r="Q301" i="25"/>
  <c r="R269" i="25"/>
  <c r="Q269" i="25"/>
  <c r="R237" i="25"/>
  <c r="Q237" i="25"/>
  <c r="R244" i="25"/>
  <c r="Q244" i="25"/>
  <c r="R279" i="25"/>
  <c r="Q279" i="25"/>
  <c r="R247" i="25"/>
  <c r="Q247" i="25"/>
  <c r="R302" i="25"/>
  <c r="Q302" i="25"/>
  <c r="R234" i="25"/>
  <c r="Q234" i="25"/>
  <c r="R242" i="25"/>
  <c r="Q242" i="25"/>
  <c r="R304" i="25"/>
  <c r="Q304" i="25"/>
  <c r="R240" i="25"/>
  <c r="Q240" i="25"/>
  <c r="R243" i="25"/>
  <c r="Q243" i="25"/>
  <c r="R230" i="25"/>
  <c r="Q230" i="25"/>
  <c r="R222" i="25"/>
  <c r="Q222" i="25"/>
  <c r="R300" i="25"/>
  <c r="Q300" i="25"/>
  <c r="R303" i="25"/>
  <c r="Q303" i="25"/>
  <c r="R271" i="25"/>
  <c r="Q271" i="25"/>
  <c r="R239" i="25"/>
  <c r="Q239" i="25"/>
  <c r="R310" i="25"/>
  <c r="Q310" i="25"/>
  <c r="R274" i="25"/>
  <c r="Q274" i="25"/>
  <c r="R305" i="25"/>
  <c r="Q305" i="25"/>
  <c r="R251" i="25"/>
  <c r="Q251" i="25"/>
  <c r="R219" i="25"/>
  <c r="Q219" i="25"/>
  <c r="R308" i="25"/>
  <c r="Q308" i="25"/>
  <c r="R276" i="25"/>
  <c r="Q276" i="25"/>
  <c r="R311" i="25"/>
  <c r="Q311" i="25"/>
  <c r="R297" i="25"/>
  <c r="Q297" i="25"/>
  <c r="R265" i="25"/>
  <c r="Q265" i="25"/>
  <c r="R233" i="25"/>
  <c r="Q233" i="25"/>
  <c r="R272" i="25"/>
  <c r="Q272" i="25"/>
  <c r="R307" i="25"/>
  <c r="Q307" i="25"/>
  <c r="R275" i="25"/>
  <c r="Q275" i="25"/>
  <c r="R314" i="25"/>
  <c r="Q314" i="25"/>
  <c r="R282" i="25"/>
  <c r="Q282" i="25"/>
  <c r="R293" i="25"/>
  <c r="Q293" i="25"/>
  <c r="R261" i="25"/>
  <c r="Q261" i="25"/>
  <c r="R229" i="25"/>
  <c r="Q229" i="25"/>
  <c r="R268" i="25"/>
  <c r="Q268" i="25"/>
  <c r="R236" i="25"/>
  <c r="Q236" i="25"/>
  <c r="R266" i="25"/>
  <c r="Q266" i="25"/>
  <c r="R273" i="25"/>
  <c r="Q273" i="25"/>
  <c r="R241" i="25"/>
  <c r="Q241" i="25"/>
  <c r="R312" i="25"/>
  <c r="Q312" i="25"/>
  <c r="R280" i="25"/>
  <c r="Q280" i="25"/>
  <c r="R248" i="25"/>
  <c r="Q248" i="25"/>
  <c r="R315" i="25"/>
  <c r="Q315" i="25"/>
  <c r="R283" i="25"/>
  <c r="Q283" i="25"/>
  <c r="R290" i="25"/>
  <c r="Q290" i="25"/>
  <c r="R262" i="25"/>
  <c r="Q262" i="25"/>
  <c r="R254" i="25"/>
  <c r="Q254" i="25"/>
  <c r="R253" i="25"/>
  <c r="Q253" i="25"/>
  <c r="R292" i="25"/>
  <c r="Q292" i="25"/>
  <c r="R260" i="25"/>
  <c r="Q260" i="25"/>
  <c r="R228" i="25"/>
  <c r="Q228" i="25"/>
  <c r="R295" i="25"/>
  <c r="Q295" i="25"/>
  <c r="R263" i="25"/>
  <c r="Q263" i="25"/>
  <c r="R286" i="25"/>
  <c r="Q286" i="25"/>
  <c r="R246" i="25"/>
  <c r="Q246" i="25"/>
  <c r="R238" i="25"/>
  <c r="Q238" i="25"/>
  <c r="AL34" i="25"/>
  <c r="H34" i="25"/>
  <c r="AH34" i="25" s="1"/>
  <c r="S34" i="25"/>
  <c r="K34" i="25" s="1"/>
  <c r="AL58" i="25"/>
  <c r="H58" i="25"/>
  <c r="AH58" i="25" s="1"/>
  <c r="S58" i="25"/>
  <c r="K58" i="25" s="1"/>
  <c r="H121" i="25"/>
  <c r="AH121" i="25" s="1"/>
  <c r="AL121" i="25"/>
  <c r="S121" i="25"/>
  <c r="K121" i="25" s="1"/>
  <c r="AL44" i="25"/>
  <c r="H44" i="25"/>
  <c r="AH44" i="25" s="1"/>
  <c r="S44" i="25"/>
  <c r="K44" i="25" s="1"/>
  <c r="AL76" i="25"/>
  <c r="H76" i="25"/>
  <c r="AH76" i="25" s="1"/>
  <c r="S76" i="25"/>
  <c r="K76" i="25" s="1"/>
  <c r="AL74" i="25"/>
  <c r="H74" i="25"/>
  <c r="AH74" i="25" s="1"/>
  <c r="S74" i="25"/>
  <c r="K74" i="25" s="1"/>
  <c r="AL124" i="25"/>
  <c r="H124" i="25"/>
  <c r="AH124" i="25" s="1"/>
  <c r="S124" i="25"/>
  <c r="K124" i="25" s="1"/>
  <c r="AL17" i="25"/>
  <c r="H17" i="25"/>
  <c r="AH17" i="25" s="1"/>
  <c r="S17" i="25"/>
  <c r="K17" i="25" s="1"/>
  <c r="AL73" i="25"/>
  <c r="H73" i="25"/>
  <c r="AH73" i="25" s="1"/>
  <c r="S73" i="25"/>
  <c r="K73" i="25" s="1"/>
  <c r="AL23" i="25"/>
  <c r="H23" i="25"/>
  <c r="AH23" i="25" s="1"/>
  <c r="S23" i="25"/>
  <c r="K23" i="25" s="1"/>
  <c r="AL43" i="25"/>
  <c r="H43" i="25"/>
  <c r="AH43" i="25" s="1"/>
  <c r="S43" i="25"/>
  <c r="K43" i="25" s="1"/>
  <c r="AL75" i="25"/>
  <c r="H75" i="25"/>
  <c r="AH75" i="25" s="1"/>
  <c r="S75" i="25"/>
  <c r="K75" i="25" s="1"/>
  <c r="H223" i="25"/>
  <c r="AH223" i="25" s="1"/>
  <c r="AL223" i="25"/>
  <c r="S223" i="25"/>
  <c r="K223" i="25" s="1"/>
  <c r="H290" i="25"/>
  <c r="AH290" i="25" s="1"/>
  <c r="AL290" i="25"/>
  <c r="S290" i="25"/>
  <c r="K290" i="25" s="1"/>
  <c r="AL98" i="25"/>
  <c r="H98" i="25"/>
  <c r="AH98" i="25" s="1"/>
  <c r="S98" i="25"/>
  <c r="K98" i="25" s="1"/>
  <c r="AL111" i="25"/>
  <c r="H111" i="25"/>
  <c r="AH111" i="25" s="1"/>
  <c r="S111" i="25"/>
  <c r="K111" i="25" s="1"/>
  <c r="H133" i="25"/>
  <c r="AH133" i="25" s="1"/>
  <c r="AL133" i="25"/>
  <c r="S133" i="25"/>
  <c r="K133" i="25" s="1"/>
  <c r="H141" i="25"/>
  <c r="AH141" i="25" s="1"/>
  <c r="AL141" i="25"/>
  <c r="S141" i="25"/>
  <c r="K141" i="25" s="1"/>
  <c r="H157" i="25"/>
  <c r="AH157" i="25" s="1"/>
  <c r="AL157" i="25"/>
  <c r="S157" i="25"/>
  <c r="K157" i="25" s="1"/>
  <c r="H173" i="25"/>
  <c r="AH173" i="25" s="1"/>
  <c r="AL173" i="25"/>
  <c r="S173" i="25"/>
  <c r="K173" i="25" s="1"/>
  <c r="H197" i="25"/>
  <c r="AH197" i="25" s="1"/>
  <c r="AL197" i="25"/>
  <c r="S197" i="25"/>
  <c r="K197" i="25" s="1"/>
  <c r="H158" i="25"/>
  <c r="AH158" i="25" s="1"/>
  <c r="AL158" i="25"/>
  <c r="S158" i="25"/>
  <c r="K158" i="25" s="1"/>
  <c r="H190" i="25"/>
  <c r="AH190" i="25" s="1"/>
  <c r="AL190" i="25"/>
  <c r="S190" i="25"/>
  <c r="K190" i="25" s="1"/>
  <c r="H235" i="25"/>
  <c r="AH235" i="25" s="1"/>
  <c r="AL235" i="25"/>
  <c r="S235" i="25"/>
  <c r="K235" i="25" s="1"/>
  <c r="H251" i="25"/>
  <c r="AH251" i="25" s="1"/>
  <c r="AL251" i="25"/>
  <c r="S251" i="25"/>
  <c r="K251" i="25" s="1"/>
  <c r="H267" i="25"/>
  <c r="AH267" i="25" s="1"/>
  <c r="AL267" i="25"/>
  <c r="S267" i="25"/>
  <c r="K267" i="25" s="1"/>
  <c r="AL155" i="25"/>
  <c r="H155" i="25"/>
  <c r="AH155" i="25" s="1"/>
  <c r="S155" i="25"/>
  <c r="K155" i="25" s="1"/>
  <c r="AL187" i="25"/>
  <c r="H187" i="25"/>
  <c r="AH187" i="25" s="1"/>
  <c r="S187" i="25"/>
  <c r="K187" i="25" s="1"/>
  <c r="AL201" i="25"/>
  <c r="H201" i="25"/>
  <c r="AH201" i="25" s="1"/>
  <c r="S201" i="25"/>
  <c r="K201" i="25" s="1"/>
  <c r="AL316" i="25"/>
  <c r="H316" i="25"/>
  <c r="AH316" i="25" s="1"/>
  <c r="S316" i="25"/>
  <c r="K316" i="25" s="1"/>
  <c r="AL14" i="25"/>
  <c r="H14" i="25"/>
  <c r="AH14" i="25" s="1"/>
  <c r="S14" i="25"/>
  <c r="K14" i="25" s="1"/>
  <c r="AL30" i="25"/>
  <c r="H30" i="25"/>
  <c r="AH30" i="25" s="1"/>
  <c r="S30" i="25"/>
  <c r="K30" i="25" s="1"/>
  <c r="AL37" i="25"/>
  <c r="H37" i="25"/>
  <c r="AH37" i="25" s="1"/>
  <c r="S37" i="25"/>
  <c r="K37" i="25" s="1"/>
  <c r="AL50" i="25"/>
  <c r="H50" i="25"/>
  <c r="AH50" i="25" s="1"/>
  <c r="S50" i="25"/>
  <c r="K50" i="25" s="1"/>
  <c r="AL45" i="25"/>
  <c r="H45" i="25"/>
  <c r="AH45" i="25" s="1"/>
  <c r="S45" i="25"/>
  <c r="K45" i="25" s="1"/>
  <c r="AL89" i="25"/>
  <c r="H89" i="25"/>
  <c r="AH89" i="25" s="1"/>
  <c r="S89" i="25"/>
  <c r="K89" i="25" s="1"/>
  <c r="AL20" i="25"/>
  <c r="H20" i="25"/>
  <c r="AH20" i="25" s="1"/>
  <c r="S20" i="25"/>
  <c r="K20" i="25" s="1"/>
  <c r="AL40" i="25"/>
  <c r="H40" i="25"/>
  <c r="AH40" i="25" s="1"/>
  <c r="S40" i="25"/>
  <c r="K40" i="25" s="1"/>
  <c r="AL56" i="25"/>
  <c r="H56" i="25"/>
  <c r="AH56" i="25" s="1"/>
  <c r="S56" i="25"/>
  <c r="K56" i="25" s="1"/>
  <c r="AL72" i="25"/>
  <c r="H72" i="25"/>
  <c r="AH72" i="25" s="1"/>
  <c r="S72" i="25"/>
  <c r="K72" i="25" s="1"/>
  <c r="AL88" i="25"/>
  <c r="H88" i="25"/>
  <c r="AH88" i="25" s="1"/>
  <c r="S88" i="25"/>
  <c r="K88" i="25" s="1"/>
  <c r="AL70" i="25"/>
  <c r="H70" i="25"/>
  <c r="AH70" i="25" s="1"/>
  <c r="S70" i="25"/>
  <c r="K70" i="25" s="1"/>
  <c r="AL86" i="25"/>
  <c r="H86" i="25"/>
  <c r="AH86" i="25" s="1"/>
  <c r="S86" i="25"/>
  <c r="K86" i="25" s="1"/>
  <c r="AL120" i="25"/>
  <c r="H120" i="25"/>
  <c r="AH120" i="25" s="1"/>
  <c r="S120" i="25"/>
  <c r="K120" i="25" s="1"/>
  <c r="H8" i="25"/>
  <c r="AH8" i="25" s="1"/>
  <c r="AL8" i="25"/>
  <c r="S8" i="25"/>
  <c r="K8" i="25" s="1"/>
  <c r="AL13" i="25"/>
  <c r="H13" i="25"/>
  <c r="AH13" i="25" s="1"/>
  <c r="S13" i="25"/>
  <c r="K13" i="25" s="1"/>
  <c r="AL33" i="25"/>
  <c r="H33" i="25"/>
  <c r="AH33" i="25" s="1"/>
  <c r="S33" i="25"/>
  <c r="K33" i="25" s="1"/>
  <c r="AL65" i="25"/>
  <c r="H65" i="25"/>
  <c r="AH65" i="25" s="1"/>
  <c r="S65" i="25"/>
  <c r="K65" i="25" s="1"/>
  <c r="H113" i="25"/>
  <c r="AH113" i="25" s="1"/>
  <c r="AL113" i="25"/>
  <c r="S113" i="25"/>
  <c r="K113" i="25" s="1"/>
  <c r="AL19" i="25"/>
  <c r="H19" i="25"/>
  <c r="AH19" i="25" s="1"/>
  <c r="S19" i="25"/>
  <c r="K19" i="25" s="1"/>
  <c r="AL39" i="25"/>
  <c r="H39" i="25"/>
  <c r="AH39" i="25" s="1"/>
  <c r="S39" i="25"/>
  <c r="K39" i="25" s="1"/>
  <c r="AL55" i="25"/>
  <c r="H55" i="25"/>
  <c r="AH55" i="25" s="1"/>
  <c r="S55" i="25"/>
  <c r="K55" i="25" s="1"/>
  <c r="AL71" i="25"/>
  <c r="H71" i="25"/>
  <c r="AH71" i="25" s="1"/>
  <c r="S71" i="25"/>
  <c r="K71" i="25" s="1"/>
  <c r="AL87" i="25"/>
  <c r="H87" i="25"/>
  <c r="AH87" i="25" s="1"/>
  <c r="S87" i="25"/>
  <c r="K87" i="25" s="1"/>
  <c r="H122" i="25"/>
  <c r="AH122" i="25" s="1"/>
  <c r="AL122" i="25"/>
  <c r="S122" i="25"/>
  <c r="K122" i="25" s="1"/>
  <c r="H222" i="25"/>
  <c r="AH222" i="25" s="1"/>
  <c r="AL222" i="25"/>
  <c r="S222" i="25"/>
  <c r="K222" i="25" s="1"/>
  <c r="H230" i="25"/>
  <c r="AH230" i="25" s="1"/>
  <c r="AL230" i="25"/>
  <c r="S230" i="25"/>
  <c r="K230" i="25" s="1"/>
  <c r="AL277" i="25"/>
  <c r="H277" i="25"/>
  <c r="AH277" i="25" s="1"/>
  <c r="S277" i="25"/>
  <c r="K277" i="25" s="1"/>
  <c r="AL93" i="25"/>
  <c r="H93" i="25"/>
  <c r="AH93" i="25" s="1"/>
  <c r="S93" i="25"/>
  <c r="K93" i="25" s="1"/>
  <c r="AL97" i="25"/>
  <c r="H97" i="25"/>
  <c r="AH97" i="25" s="1"/>
  <c r="S97" i="25"/>
  <c r="K97" i="25" s="1"/>
  <c r="AL101" i="25"/>
  <c r="H101" i="25"/>
  <c r="AH101" i="25" s="1"/>
  <c r="S101" i="25"/>
  <c r="K101" i="25" s="1"/>
  <c r="AL105" i="25"/>
  <c r="H105" i="25"/>
  <c r="AH105" i="25" s="1"/>
  <c r="S105" i="25"/>
  <c r="K105" i="25" s="1"/>
  <c r="AL123" i="25"/>
  <c r="H123" i="25"/>
  <c r="AH123" i="25" s="1"/>
  <c r="S123" i="25"/>
  <c r="K123" i="25" s="1"/>
  <c r="AL132" i="25"/>
  <c r="H132" i="25"/>
  <c r="AH132" i="25" s="1"/>
  <c r="S132" i="25"/>
  <c r="K132" i="25" s="1"/>
  <c r="AL140" i="25"/>
  <c r="H140" i="25"/>
  <c r="AH140" i="25" s="1"/>
  <c r="S140" i="25"/>
  <c r="K140" i="25" s="1"/>
  <c r="AL148" i="25"/>
  <c r="H148" i="25"/>
  <c r="AH148" i="25" s="1"/>
  <c r="S148" i="25"/>
  <c r="K148" i="25" s="1"/>
  <c r="AL156" i="25"/>
  <c r="H156" i="25"/>
  <c r="AH156" i="25" s="1"/>
  <c r="S156" i="25"/>
  <c r="K156" i="25" s="1"/>
  <c r="AL164" i="25"/>
  <c r="H164" i="25"/>
  <c r="AH164" i="25" s="1"/>
  <c r="S164" i="25"/>
  <c r="K164" i="25" s="1"/>
  <c r="AL172" i="25"/>
  <c r="H172" i="25"/>
  <c r="AH172" i="25" s="1"/>
  <c r="S172" i="25"/>
  <c r="K172" i="25" s="1"/>
  <c r="AL180" i="25"/>
  <c r="H180" i="25"/>
  <c r="AH180" i="25" s="1"/>
  <c r="S180" i="25"/>
  <c r="K180" i="25" s="1"/>
  <c r="AL188" i="25"/>
  <c r="H188" i="25"/>
  <c r="AH188" i="25" s="1"/>
  <c r="S188" i="25"/>
  <c r="K188" i="25" s="1"/>
  <c r="AL196" i="25"/>
  <c r="H196" i="25"/>
  <c r="AH196" i="25" s="1"/>
  <c r="S196" i="25"/>
  <c r="K196" i="25" s="1"/>
  <c r="H138" i="25"/>
  <c r="AH138" i="25" s="1"/>
  <c r="AL138" i="25"/>
  <c r="S138" i="25"/>
  <c r="K138" i="25" s="1"/>
  <c r="H154" i="25"/>
  <c r="AH154" i="25" s="1"/>
  <c r="AL154" i="25"/>
  <c r="S154" i="25"/>
  <c r="K154" i="25" s="1"/>
  <c r="H170" i="25"/>
  <c r="AH170" i="25" s="1"/>
  <c r="AL170" i="25"/>
  <c r="S170" i="25"/>
  <c r="K170" i="25" s="1"/>
  <c r="H186" i="25"/>
  <c r="AH186" i="25" s="1"/>
  <c r="AL186" i="25"/>
  <c r="S186" i="25"/>
  <c r="K186" i="25" s="1"/>
  <c r="H217" i="25"/>
  <c r="AH217" i="25" s="1"/>
  <c r="AL217" i="25"/>
  <c r="S217" i="25"/>
  <c r="K217" i="25" s="1"/>
  <c r="H232" i="25"/>
  <c r="AH232" i="25" s="1"/>
  <c r="AL232" i="25"/>
  <c r="S232" i="25"/>
  <c r="K232" i="25" s="1"/>
  <c r="H240" i="25"/>
  <c r="AH240" i="25" s="1"/>
  <c r="AL240" i="25"/>
  <c r="S240" i="25"/>
  <c r="K240" i="25" s="1"/>
  <c r="H248" i="25"/>
  <c r="AH248" i="25" s="1"/>
  <c r="AL248" i="25"/>
  <c r="S248" i="25"/>
  <c r="K248" i="25" s="1"/>
  <c r="H256" i="25"/>
  <c r="AH256" i="25" s="1"/>
  <c r="AL256" i="25"/>
  <c r="S256" i="25"/>
  <c r="K256" i="25" s="1"/>
  <c r="H264" i="25"/>
  <c r="AH264" i="25" s="1"/>
  <c r="AL264" i="25"/>
  <c r="S264" i="25"/>
  <c r="K264" i="25" s="1"/>
  <c r="AL274" i="25"/>
  <c r="H274" i="25"/>
  <c r="AH274" i="25" s="1"/>
  <c r="S274" i="25"/>
  <c r="K274" i="25" s="1"/>
  <c r="AL135" i="25"/>
  <c r="H135" i="25"/>
  <c r="AH135" i="25" s="1"/>
  <c r="S135" i="25"/>
  <c r="K135" i="25" s="1"/>
  <c r="AL151" i="25"/>
  <c r="H151" i="25"/>
  <c r="AH151" i="25" s="1"/>
  <c r="S151" i="25"/>
  <c r="K151" i="25" s="1"/>
  <c r="AL167" i="25"/>
  <c r="H167" i="25"/>
  <c r="AH167" i="25" s="1"/>
  <c r="S167" i="25"/>
  <c r="K167" i="25" s="1"/>
  <c r="AL183" i="25"/>
  <c r="H183" i="25"/>
  <c r="AH183" i="25" s="1"/>
  <c r="S183" i="25"/>
  <c r="K183" i="25" s="1"/>
  <c r="AL199" i="25"/>
  <c r="H199" i="25"/>
  <c r="AH199" i="25" s="1"/>
  <c r="S199" i="25"/>
  <c r="K199" i="25" s="1"/>
  <c r="H206" i="25"/>
  <c r="AH206" i="25" s="1"/>
  <c r="AL206" i="25"/>
  <c r="S206" i="25"/>
  <c r="K206" i="25" s="1"/>
  <c r="H224" i="25"/>
  <c r="AH224" i="25" s="1"/>
  <c r="AL224" i="25"/>
  <c r="S224" i="25"/>
  <c r="K224" i="25" s="1"/>
  <c r="AL308" i="25"/>
  <c r="H308" i="25"/>
  <c r="AH308" i="25" s="1"/>
  <c r="S308" i="25"/>
  <c r="K308" i="25" s="1"/>
  <c r="H238" i="25"/>
  <c r="AH238" i="25" s="1"/>
  <c r="AL238" i="25"/>
  <c r="S238" i="25"/>
  <c r="K238" i="25" s="1"/>
  <c r="H254" i="25"/>
  <c r="AH254" i="25" s="1"/>
  <c r="AL254" i="25"/>
  <c r="S254" i="25"/>
  <c r="K254" i="25" s="1"/>
  <c r="H283" i="25"/>
  <c r="AH283" i="25" s="1"/>
  <c r="AL283" i="25"/>
  <c r="S283" i="25"/>
  <c r="K283" i="25" s="1"/>
  <c r="AL204" i="25"/>
  <c r="H204" i="25"/>
  <c r="AH204" i="25" s="1"/>
  <c r="S204" i="25"/>
  <c r="K204" i="25" s="1"/>
  <c r="H241" i="25"/>
  <c r="AH241" i="25" s="1"/>
  <c r="AL241" i="25"/>
  <c r="S241" i="25"/>
  <c r="K241" i="25" s="1"/>
  <c r="H257" i="25"/>
  <c r="AH257" i="25" s="1"/>
  <c r="AL257" i="25"/>
  <c r="S257" i="25"/>
  <c r="K257" i="25" s="1"/>
  <c r="H294" i="25"/>
  <c r="AH294" i="25" s="1"/>
  <c r="AL294" i="25"/>
  <c r="S294" i="25"/>
  <c r="K294" i="25" s="1"/>
  <c r="AL309" i="25"/>
  <c r="H309" i="25"/>
  <c r="AH309" i="25" s="1"/>
  <c r="S309" i="25"/>
  <c r="K309" i="25" s="1"/>
  <c r="AL279" i="25"/>
  <c r="H279" i="25"/>
  <c r="AH279" i="25" s="1"/>
  <c r="S279" i="25"/>
  <c r="K279" i="25" s="1"/>
  <c r="H293" i="25"/>
  <c r="AH293" i="25" s="1"/>
  <c r="AL293" i="25"/>
  <c r="S293" i="25"/>
  <c r="K293" i="25" s="1"/>
  <c r="H284" i="25"/>
  <c r="AH284" i="25" s="1"/>
  <c r="AL284" i="25"/>
  <c r="S284" i="25"/>
  <c r="K284" i="25" s="1"/>
  <c r="AL300" i="25"/>
  <c r="H300" i="25"/>
  <c r="AH300" i="25" s="1"/>
  <c r="S300" i="25"/>
  <c r="K300" i="25" s="1"/>
  <c r="AL315" i="25"/>
  <c r="H315" i="25"/>
  <c r="AH315" i="25" s="1"/>
  <c r="S315" i="25"/>
  <c r="K315" i="25" s="1"/>
  <c r="AL304" i="25"/>
  <c r="H304" i="25"/>
  <c r="AH304" i="25" s="1"/>
  <c r="S304" i="25"/>
  <c r="K304" i="25" s="1"/>
  <c r="AL18" i="25"/>
  <c r="H18" i="25"/>
  <c r="AH18" i="25" s="1"/>
  <c r="S18" i="25"/>
  <c r="K18" i="25" s="1"/>
  <c r="AL38" i="25"/>
  <c r="H38" i="25"/>
  <c r="AH38" i="25" s="1"/>
  <c r="S38" i="25"/>
  <c r="K38" i="25" s="1"/>
  <c r="AL53" i="25"/>
  <c r="H53" i="25"/>
  <c r="AH53" i="25" s="1"/>
  <c r="S53" i="25"/>
  <c r="K53" i="25" s="1"/>
  <c r="AL24" i="25"/>
  <c r="H24" i="25"/>
  <c r="AH24" i="25" s="1"/>
  <c r="S24" i="25"/>
  <c r="K24" i="25" s="1"/>
  <c r="AL60" i="25"/>
  <c r="H60" i="25"/>
  <c r="AH60" i="25" s="1"/>
  <c r="S60" i="25"/>
  <c r="K60" i="25" s="1"/>
  <c r="AL54" i="25"/>
  <c r="H54" i="25"/>
  <c r="AH54" i="25" s="1"/>
  <c r="S54" i="25"/>
  <c r="K54" i="25" s="1"/>
  <c r="AL90" i="25"/>
  <c r="H90" i="25"/>
  <c r="AH90" i="25" s="1"/>
  <c r="S90" i="25"/>
  <c r="K90" i="25" s="1"/>
  <c r="AL9" i="25"/>
  <c r="H9" i="25"/>
  <c r="AH9" i="25" s="1"/>
  <c r="S9" i="25"/>
  <c r="K9" i="25" s="1"/>
  <c r="AL49" i="25"/>
  <c r="H49" i="25"/>
  <c r="AH49" i="25" s="1"/>
  <c r="S49" i="25"/>
  <c r="K49" i="25" s="1"/>
  <c r="H117" i="25"/>
  <c r="AH117" i="25" s="1"/>
  <c r="AL117" i="25"/>
  <c r="S117" i="25"/>
  <c r="K117" i="25" s="1"/>
  <c r="AL59" i="25"/>
  <c r="H59" i="25"/>
  <c r="AH59" i="25" s="1"/>
  <c r="S59" i="25"/>
  <c r="K59" i="25" s="1"/>
  <c r="H295" i="25"/>
  <c r="AH295" i="25" s="1"/>
  <c r="AL295" i="25"/>
  <c r="S295" i="25"/>
  <c r="K295" i="25" s="1"/>
  <c r="H126" i="25"/>
  <c r="AH126" i="25" s="1"/>
  <c r="AL126" i="25"/>
  <c r="S126" i="25"/>
  <c r="K126" i="25" s="1"/>
  <c r="H231" i="25"/>
  <c r="AH231" i="25" s="1"/>
  <c r="AL231" i="25"/>
  <c r="S231" i="25"/>
  <c r="K231" i="25" s="1"/>
  <c r="AL94" i="25"/>
  <c r="H94" i="25"/>
  <c r="AH94" i="25" s="1"/>
  <c r="S94" i="25"/>
  <c r="K94" i="25" s="1"/>
  <c r="AL102" i="25"/>
  <c r="H102" i="25"/>
  <c r="AH102" i="25" s="1"/>
  <c r="S102" i="25"/>
  <c r="K102" i="25" s="1"/>
  <c r="AL127" i="25"/>
  <c r="H127" i="25"/>
  <c r="AH127" i="25" s="1"/>
  <c r="S127" i="25"/>
  <c r="K127" i="25" s="1"/>
  <c r="H149" i="25"/>
  <c r="AH149" i="25" s="1"/>
  <c r="AL149" i="25"/>
  <c r="S149" i="25"/>
  <c r="K149" i="25" s="1"/>
  <c r="H165" i="25"/>
  <c r="AH165" i="25" s="1"/>
  <c r="AL165" i="25"/>
  <c r="S165" i="25"/>
  <c r="K165" i="25" s="1"/>
  <c r="H181" i="25"/>
  <c r="AH181" i="25" s="1"/>
  <c r="AL181" i="25"/>
  <c r="S181" i="25"/>
  <c r="K181" i="25" s="1"/>
  <c r="H189" i="25"/>
  <c r="AH189" i="25" s="1"/>
  <c r="AL189" i="25"/>
  <c r="S189" i="25"/>
  <c r="K189" i="25" s="1"/>
  <c r="H142" i="25"/>
  <c r="AH142" i="25" s="1"/>
  <c r="AL142" i="25"/>
  <c r="S142" i="25"/>
  <c r="K142" i="25" s="1"/>
  <c r="H174" i="25"/>
  <c r="AH174" i="25" s="1"/>
  <c r="AL174" i="25"/>
  <c r="S174" i="25"/>
  <c r="K174" i="25" s="1"/>
  <c r="H221" i="25"/>
  <c r="AH221" i="25" s="1"/>
  <c r="AL221" i="25"/>
  <c r="S221" i="25"/>
  <c r="K221" i="25" s="1"/>
  <c r="H243" i="25"/>
  <c r="AH243" i="25" s="1"/>
  <c r="AL243" i="25"/>
  <c r="S243" i="25"/>
  <c r="K243" i="25" s="1"/>
  <c r="H259" i="25"/>
  <c r="AH259" i="25" s="1"/>
  <c r="AL259" i="25"/>
  <c r="S259" i="25"/>
  <c r="K259" i="25" s="1"/>
  <c r="AL278" i="25"/>
  <c r="H278" i="25"/>
  <c r="AH278" i="25" s="1"/>
  <c r="S278" i="25"/>
  <c r="K278" i="25" s="1"/>
  <c r="AL139" i="25"/>
  <c r="H139" i="25"/>
  <c r="AH139" i="25" s="1"/>
  <c r="S139" i="25"/>
  <c r="K139" i="25" s="1"/>
  <c r="AL171" i="25"/>
  <c r="H171" i="25"/>
  <c r="AH171" i="25" s="1"/>
  <c r="S171" i="25"/>
  <c r="K171" i="25" s="1"/>
  <c r="AL209" i="25"/>
  <c r="H209" i="25"/>
  <c r="AH209" i="25" s="1"/>
  <c r="S209" i="25"/>
  <c r="K209" i="25" s="1"/>
  <c r="H228" i="25"/>
  <c r="AH228" i="25" s="1"/>
  <c r="AL228" i="25"/>
  <c r="S228" i="25"/>
  <c r="K228" i="25" s="1"/>
  <c r="H203" i="25"/>
  <c r="AH203" i="25" s="1"/>
  <c r="AL203" i="25"/>
  <c r="S203" i="25"/>
  <c r="K203" i="25" s="1"/>
  <c r="H242" i="25"/>
  <c r="AH242" i="25" s="1"/>
  <c r="AL242" i="25"/>
  <c r="S242" i="25"/>
  <c r="K242" i="25" s="1"/>
  <c r="H258" i="25"/>
  <c r="AH258" i="25" s="1"/>
  <c r="AL258" i="25"/>
  <c r="S258" i="25"/>
  <c r="K258" i="25" s="1"/>
  <c r="H291" i="25"/>
  <c r="AH291" i="25" s="1"/>
  <c r="AL291" i="25"/>
  <c r="S291" i="25"/>
  <c r="K291" i="25" s="1"/>
  <c r="AL208" i="25"/>
  <c r="H208" i="25"/>
  <c r="AH208" i="25" s="1"/>
  <c r="S208" i="25"/>
  <c r="K208" i="25" s="1"/>
  <c r="H245" i="25"/>
  <c r="AH245" i="25" s="1"/>
  <c r="AL245" i="25"/>
  <c r="S245" i="25"/>
  <c r="K245" i="25" s="1"/>
  <c r="H261" i="25"/>
  <c r="AH261" i="25" s="1"/>
  <c r="AL261" i="25"/>
  <c r="S261" i="25"/>
  <c r="K261" i="25" s="1"/>
  <c r="AL272" i="25"/>
  <c r="H272" i="25"/>
  <c r="AH272" i="25" s="1"/>
  <c r="S272" i="25"/>
  <c r="K272" i="25" s="1"/>
  <c r="H281" i="25"/>
  <c r="AH281" i="25" s="1"/>
  <c r="AL281" i="25"/>
  <c r="S281" i="25"/>
  <c r="K281" i="25" s="1"/>
  <c r="H297" i="25"/>
  <c r="AH297" i="25" s="1"/>
  <c r="AL297" i="25"/>
  <c r="S297" i="25"/>
  <c r="K297" i="25" s="1"/>
  <c r="H288" i="25"/>
  <c r="AH288" i="25" s="1"/>
  <c r="AL288" i="25"/>
  <c r="S288" i="25"/>
  <c r="K288" i="25" s="1"/>
  <c r="AL305" i="25"/>
  <c r="H305" i="25"/>
  <c r="AH305" i="25" s="1"/>
  <c r="S305" i="25"/>
  <c r="K305" i="25" s="1"/>
  <c r="AL301" i="25"/>
  <c r="H301" i="25"/>
  <c r="AH301" i="25" s="1"/>
  <c r="S301" i="25"/>
  <c r="K301" i="25" s="1"/>
  <c r="AL306" i="25"/>
  <c r="H306" i="25"/>
  <c r="AH306" i="25" s="1"/>
  <c r="S306" i="25"/>
  <c r="K306" i="25" s="1"/>
  <c r="AL22" i="25"/>
  <c r="H22" i="25"/>
  <c r="AH22" i="25" s="1"/>
  <c r="S22" i="25"/>
  <c r="K22" i="25" s="1"/>
  <c r="AL35" i="25"/>
  <c r="H35" i="25"/>
  <c r="AH35" i="25" s="1"/>
  <c r="S35" i="25"/>
  <c r="K35" i="25" s="1"/>
  <c r="AL42" i="25"/>
  <c r="H42" i="25"/>
  <c r="AH42" i="25" s="1"/>
  <c r="S42" i="25"/>
  <c r="K42" i="25" s="1"/>
  <c r="AL21" i="25"/>
  <c r="H21" i="25"/>
  <c r="AH21" i="25" s="1"/>
  <c r="S21" i="25"/>
  <c r="K21" i="25" s="1"/>
  <c r="AL69" i="25"/>
  <c r="H69" i="25"/>
  <c r="AH69" i="25" s="1"/>
  <c r="S69" i="25"/>
  <c r="K69" i="25" s="1"/>
  <c r="AL12" i="25"/>
  <c r="H12" i="25"/>
  <c r="AH12" i="25" s="1"/>
  <c r="S12" i="25"/>
  <c r="K12" i="25" s="1"/>
  <c r="AL28" i="25"/>
  <c r="H28" i="25"/>
  <c r="AH28" i="25" s="1"/>
  <c r="S28" i="25"/>
  <c r="K28" i="25" s="1"/>
  <c r="AL48" i="25"/>
  <c r="H48" i="25"/>
  <c r="AH48" i="25" s="1"/>
  <c r="S48" i="25"/>
  <c r="K48" i="25" s="1"/>
  <c r="AL64" i="25"/>
  <c r="H64" i="25"/>
  <c r="AH64" i="25" s="1"/>
  <c r="S64" i="25"/>
  <c r="K64" i="25" s="1"/>
  <c r="AL80" i="25"/>
  <c r="H80" i="25"/>
  <c r="AH80" i="25" s="1"/>
  <c r="S80" i="25"/>
  <c r="K80" i="25" s="1"/>
  <c r="AL62" i="25"/>
  <c r="H62" i="25"/>
  <c r="AH62" i="25" s="1"/>
  <c r="S62" i="25"/>
  <c r="K62" i="25" s="1"/>
  <c r="AL78" i="25"/>
  <c r="H78" i="25"/>
  <c r="AH78" i="25" s="1"/>
  <c r="S78" i="25"/>
  <c r="K78" i="25" s="1"/>
  <c r="AL112" i="25"/>
  <c r="H112" i="25"/>
  <c r="AH112" i="25" s="1"/>
  <c r="S112" i="25"/>
  <c r="K112" i="25" s="1"/>
  <c r="AL6" i="25"/>
  <c r="BP6" i="25"/>
  <c r="H6" i="25"/>
  <c r="AH6" i="25" s="1"/>
  <c r="S6" i="25"/>
  <c r="K6" i="25" s="1"/>
  <c r="H10" i="25"/>
  <c r="AH10" i="25" s="1"/>
  <c r="AL10" i="25"/>
  <c r="S10" i="25"/>
  <c r="K10" i="25" s="1"/>
  <c r="AL25" i="25"/>
  <c r="H25" i="25"/>
  <c r="AH25" i="25" s="1"/>
  <c r="S25" i="25"/>
  <c r="K25" i="25" s="1"/>
  <c r="AL57" i="25"/>
  <c r="H57" i="25"/>
  <c r="AH57" i="25" s="1"/>
  <c r="S57" i="25"/>
  <c r="K57" i="25" s="1"/>
  <c r="AL77" i="25"/>
  <c r="H77" i="25"/>
  <c r="AH77" i="25" s="1"/>
  <c r="S77" i="25"/>
  <c r="K77" i="25" s="1"/>
  <c r="H125" i="25"/>
  <c r="AH125" i="25" s="1"/>
  <c r="AL125" i="25"/>
  <c r="S125" i="25"/>
  <c r="K125" i="25" s="1"/>
  <c r="AL27" i="25"/>
  <c r="H27" i="25"/>
  <c r="AH27" i="25" s="1"/>
  <c r="S27" i="25"/>
  <c r="K27" i="25" s="1"/>
  <c r="AL47" i="25"/>
  <c r="H47" i="25"/>
  <c r="AH47" i="25" s="1"/>
  <c r="S47" i="25"/>
  <c r="K47" i="25" s="1"/>
  <c r="AL63" i="25"/>
  <c r="H63" i="25"/>
  <c r="AH63" i="25" s="1"/>
  <c r="S63" i="25"/>
  <c r="K63" i="25" s="1"/>
  <c r="AL79" i="25"/>
  <c r="H79" i="25"/>
  <c r="AH79" i="25" s="1"/>
  <c r="S79" i="25"/>
  <c r="K79" i="25" s="1"/>
  <c r="H114" i="25"/>
  <c r="AH114" i="25" s="1"/>
  <c r="AL114" i="25"/>
  <c r="S114" i="25"/>
  <c r="K114" i="25" s="1"/>
  <c r="H218" i="25"/>
  <c r="AH218" i="25" s="1"/>
  <c r="AL218" i="25"/>
  <c r="S218" i="25"/>
  <c r="K218" i="25" s="1"/>
  <c r="H226" i="25"/>
  <c r="AH226" i="25" s="1"/>
  <c r="AL226" i="25"/>
  <c r="S226" i="25"/>
  <c r="K226" i="25" s="1"/>
  <c r="AL269" i="25"/>
  <c r="H269" i="25"/>
  <c r="AH269" i="25" s="1"/>
  <c r="S269" i="25"/>
  <c r="K269" i="25" s="1"/>
  <c r="AL91" i="25"/>
  <c r="H91" i="25"/>
  <c r="AH91" i="25" s="1"/>
  <c r="S91" i="25"/>
  <c r="K91" i="25" s="1"/>
  <c r="AL95" i="25"/>
  <c r="H95" i="25"/>
  <c r="AH95" i="25" s="1"/>
  <c r="S95" i="25"/>
  <c r="K95" i="25" s="1"/>
  <c r="AL99" i="25"/>
  <c r="H99" i="25"/>
  <c r="AH99" i="25" s="1"/>
  <c r="S99" i="25"/>
  <c r="K99" i="25" s="1"/>
  <c r="AL103" i="25"/>
  <c r="H103" i="25"/>
  <c r="AH103" i="25" s="1"/>
  <c r="S103" i="25"/>
  <c r="K103" i="25" s="1"/>
  <c r="AL115" i="25"/>
  <c r="H115" i="25"/>
  <c r="AH115" i="25" s="1"/>
  <c r="S115" i="25"/>
  <c r="K115" i="25" s="1"/>
  <c r="AL128" i="25"/>
  <c r="H128" i="25"/>
  <c r="AH128" i="25" s="1"/>
  <c r="S128" i="25"/>
  <c r="K128" i="25" s="1"/>
  <c r="AL136" i="25"/>
  <c r="H136" i="25"/>
  <c r="AH136" i="25" s="1"/>
  <c r="S136" i="25"/>
  <c r="K136" i="25" s="1"/>
  <c r="AL144" i="25"/>
  <c r="H144" i="25"/>
  <c r="AH144" i="25" s="1"/>
  <c r="S144" i="25"/>
  <c r="K144" i="25" s="1"/>
  <c r="AL152" i="25"/>
  <c r="H152" i="25"/>
  <c r="AH152" i="25" s="1"/>
  <c r="S152" i="25"/>
  <c r="K152" i="25" s="1"/>
  <c r="AL160" i="25"/>
  <c r="H160" i="25"/>
  <c r="AH160" i="25" s="1"/>
  <c r="S160" i="25"/>
  <c r="K160" i="25" s="1"/>
  <c r="AL168" i="25"/>
  <c r="H168" i="25"/>
  <c r="AH168" i="25" s="1"/>
  <c r="S168" i="25"/>
  <c r="K168" i="25" s="1"/>
  <c r="AL176" i="25"/>
  <c r="H176" i="25"/>
  <c r="AH176" i="25" s="1"/>
  <c r="S176" i="25"/>
  <c r="K176" i="25" s="1"/>
  <c r="AL184" i="25"/>
  <c r="H184" i="25"/>
  <c r="AH184" i="25" s="1"/>
  <c r="S184" i="25"/>
  <c r="K184" i="25" s="1"/>
  <c r="AL192" i="25"/>
  <c r="H192" i="25"/>
  <c r="AH192" i="25" s="1"/>
  <c r="S192" i="25"/>
  <c r="K192" i="25" s="1"/>
  <c r="H130" i="25"/>
  <c r="AH130" i="25" s="1"/>
  <c r="AL130" i="25"/>
  <c r="S130" i="25"/>
  <c r="K130" i="25" s="1"/>
  <c r="H146" i="25"/>
  <c r="AH146" i="25" s="1"/>
  <c r="AL146" i="25"/>
  <c r="S146" i="25"/>
  <c r="K146" i="25" s="1"/>
  <c r="H162" i="25"/>
  <c r="AH162" i="25" s="1"/>
  <c r="AL162" i="25"/>
  <c r="S162" i="25"/>
  <c r="K162" i="25" s="1"/>
  <c r="H178" i="25"/>
  <c r="AH178" i="25" s="1"/>
  <c r="AL178" i="25"/>
  <c r="S178" i="25"/>
  <c r="K178" i="25" s="1"/>
  <c r="H194" i="25"/>
  <c r="AH194" i="25" s="1"/>
  <c r="AL194" i="25"/>
  <c r="S194" i="25"/>
  <c r="K194" i="25" s="1"/>
  <c r="H225" i="25"/>
  <c r="AH225" i="25" s="1"/>
  <c r="AL225" i="25"/>
  <c r="S225" i="25"/>
  <c r="K225" i="25" s="1"/>
  <c r="H236" i="25"/>
  <c r="AH236" i="25" s="1"/>
  <c r="AL236" i="25"/>
  <c r="S236" i="25"/>
  <c r="K236" i="25" s="1"/>
  <c r="H244" i="25"/>
  <c r="AH244" i="25" s="1"/>
  <c r="AL244" i="25"/>
  <c r="S244" i="25"/>
  <c r="K244" i="25" s="1"/>
  <c r="H252" i="25"/>
  <c r="AH252" i="25" s="1"/>
  <c r="AL252" i="25"/>
  <c r="S252" i="25"/>
  <c r="K252" i="25" s="1"/>
  <c r="H260" i="25"/>
  <c r="AH260" i="25" s="1"/>
  <c r="AL260" i="25"/>
  <c r="S260" i="25"/>
  <c r="K260" i="25" s="1"/>
  <c r="AL268" i="25"/>
  <c r="H268" i="25"/>
  <c r="AH268" i="25" s="1"/>
  <c r="S268" i="25"/>
  <c r="K268" i="25" s="1"/>
  <c r="H287" i="25"/>
  <c r="AH287" i="25" s="1"/>
  <c r="AL287" i="25"/>
  <c r="S287" i="25"/>
  <c r="K287" i="25" s="1"/>
  <c r="AL143" i="25"/>
  <c r="H143" i="25"/>
  <c r="AH143" i="25" s="1"/>
  <c r="S143" i="25"/>
  <c r="K143" i="25" s="1"/>
  <c r="AL159" i="25"/>
  <c r="H159" i="25"/>
  <c r="AH159" i="25" s="1"/>
  <c r="S159" i="25"/>
  <c r="K159" i="25" s="1"/>
  <c r="AL175" i="25"/>
  <c r="H175" i="25"/>
  <c r="AH175" i="25" s="1"/>
  <c r="S175" i="25"/>
  <c r="K175" i="25" s="1"/>
  <c r="AL191" i="25"/>
  <c r="H191" i="25"/>
  <c r="AH191" i="25" s="1"/>
  <c r="S191" i="25"/>
  <c r="K191" i="25" s="1"/>
  <c r="H202" i="25"/>
  <c r="AH202" i="25" s="1"/>
  <c r="AL202" i="25"/>
  <c r="S202" i="25"/>
  <c r="K202" i="25" s="1"/>
  <c r="H210" i="25"/>
  <c r="AH210" i="25" s="1"/>
  <c r="AL210" i="25"/>
  <c r="S210" i="25"/>
  <c r="K210" i="25" s="1"/>
  <c r="H282" i="25"/>
  <c r="AH282" i="25" s="1"/>
  <c r="AL282" i="25"/>
  <c r="S282" i="25"/>
  <c r="K282" i="25" s="1"/>
  <c r="H207" i="25"/>
  <c r="AH207" i="25" s="1"/>
  <c r="AL207" i="25"/>
  <c r="S207" i="25"/>
  <c r="K207" i="25" s="1"/>
  <c r="H246" i="25"/>
  <c r="AH246" i="25" s="1"/>
  <c r="AL246" i="25"/>
  <c r="S246" i="25"/>
  <c r="K246" i="25" s="1"/>
  <c r="H262" i="25"/>
  <c r="AH262" i="25" s="1"/>
  <c r="AL262" i="25"/>
  <c r="S262" i="25"/>
  <c r="K262" i="25" s="1"/>
  <c r="AL299" i="25"/>
  <c r="H299" i="25"/>
  <c r="AH299" i="25" s="1"/>
  <c r="S299" i="25"/>
  <c r="K299" i="25" s="1"/>
  <c r="H233" i="25"/>
  <c r="AH233" i="25" s="1"/>
  <c r="AL233" i="25"/>
  <c r="S233" i="25"/>
  <c r="K233" i="25" s="1"/>
  <c r="H249" i="25"/>
  <c r="AH249" i="25" s="1"/>
  <c r="AL249" i="25"/>
  <c r="S249" i="25"/>
  <c r="K249" i="25" s="1"/>
  <c r="H265" i="25"/>
  <c r="AH265" i="25" s="1"/>
  <c r="AL265" i="25"/>
  <c r="S265" i="25"/>
  <c r="K265" i="25" s="1"/>
  <c r="AL276" i="25"/>
  <c r="H276" i="25"/>
  <c r="AH276" i="25" s="1"/>
  <c r="S276" i="25"/>
  <c r="K276" i="25" s="1"/>
  <c r="AL271" i="25"/>
  <c r="H271" i="25"/>
  <c r="AH271" i="25" s="1"/>
  <c r="S271" i="25"/>
  <c r="K271" i="25" s="1"/>
  <c r="H285" i="25"/>
  <c r="AH285" i="25" s="1"/>
  <c r="AL285" i="25"/>
  <c r="S285" i="25"/>
  <c r="K285" i="25" s="1"/>
  <c r="AL312" i="25"/>
  <c r="H312" i="25"/>
  <c r="AH312" i="25" s="1"/>
  <c r="S312" i="25"/>
  <c r="K312" i="25" s="1"/>
  <c r="H292" i="25"/>
  <c r="AH292" i="25" s="1"/>
  <c r="AL292" i="25"/>
  <c r="S292" i="25"/>
  <c r="K292" i="25" s="1"/>
  <c r="AL307" i="25"/>
  <c r="H307" i="25"/>
  <c r="AH307" i="25" s="1"/>
  <c r="S307" i="25"/>
  <c r="K307" i="25" s="1"/>
  <c r="AL302" i="25"/>
  <c r="H302" i="25"/>
  <c r="AH302" i="25" s="1"/>
  <c r="S302" i="25"/>
  <c r="K302" i="25" s="1"/>
  <c r="AL310" i="25"/>
  <c r="H310" i="25"/>
  <c r="AH310" i="25" s="1"/>
  <c r="S310" i="25"/>
  <c r="K310" i="25" s="1"/>
  <c r="AL26" i="25"/>
  <c r="H26" i="25"/>
  <c r="AH26" i="25" s="1"/>
  <c r="S26" i="25"/>
  <c r="K26" i="25" s="1"/>
  <c r="AL36" i="25"/>
  <c r="H36" i="25"/>
  <c r="AH36" i="25" s="1"/>
  <c r="S36" i="25"/>
  <c r="K36" i="25" s="1"/>
  <c r="AL46" i="25"/>
  <c r="H46" i="25"/>
  <c r="AH46" i="25" s="1"/>
  <c r="S46" i="25"/>
  <c r="K46" i="25" s="1"/>
  <c r="AL41" i="25"/>
  <c r="H41" i="25"/>
  <c r="AH41" i="25" s="1"/>
  <c r="S41" i="25"/>
  <c r="K41" i="25" s="1"/>
  <c r="AL81" i="25"/>
  <c r="H81" i="25"/>
  <c r="AH81" i="25" s="1"/>
  <c r="S81" i="25"/>
  <c r="K81" i="25" s="1"/>
  <c r="AL16" i="25"/>
  <c r="H16" i="25"/>
  <c r="AH16" i="25" s="1"/>
  <c r="S16" i="25"/>
  <c r="K16" i="25" s="1"/>
  <c r="AL32" i="25"/>
  <c r="H32" i="25"/>
  <c r="AH32" i="25" s="1"/>
  <c r="S32" i="25"/>
  <c r="K32" i="25" s="1"/>
  <c r="AL52" i="25"/>
  <c r="H52" i="25"/>
  <c r="AH52" i="25" s="1"/>
  <c r="S52" i="25"/>
  <c r="K52" i="25" s="1"/>
  <c r="AL68" i="25"/>
  <c r="H68" i="25"/>
  <c r="AH68" i="25" s="1"/>
  <c r="S68" i="25"/>
  <c r="K68" i="25" s="1"/>
  <c r="AL84" i="25"/>
  <c r="H84" i="25"/>
  <c r="AH84" i="25" s="1"/>
  <c r="S84" i="25"/>
  <c r="K84" i="25" s="1"/>
  <c r="AL66" i="25"/>
  <c r="H66" i="25"/>
  <c r="AH66" i="25" s="1"/>
  <c r="S66" i="25"/>
  <c r="K66" i="25" s="1"/>
  <c r="AL82" i="25"/>
  <c r="H82" i="25"/>
  <c r="AH82" i="25" s="1"/>
  <c r="S82" i="25"/>
  <c r="K82" i="25" s="1"/>
  <c r="AL116" i="25"/>
  <c r="H116" i="25"/>
  <c r="AH116" i="25" s="1"/>
  <c r="S116" i="25"/>
  <c r="K116" i="25" s="1"/>
  <c r="BP7" i="25"/>
  <c r="H7" i="25"/>
  <c r="AH7" i="25" s="1"/>
  <c r="AL7" i="25"/>
  <c r="S7" i="25"/>
  <c r="K7" i="25" s="1"/>
  <c r="H11" i="25"/>
  <c r="AH11" i="25" s="1"/>
  <c r="AL11" i="25"/>
  <c r="S11" i="25"/>
  <c r="K11" i="25" s="1"/>
  <c r="AL29" i="25"/>
  <c r="H29" i="25"/>
  <c r="AH29" i="25" s="1"/>
  <c r="S29" i="25"/>
  <c r="K29" i="25" s="1"/>
  <c r="AL61" i="25"/>
  <c r="H61" i="25"/>
  <c r="AH61" i="25" s="1"/>
  <c r="S61" i="25"/>
  <c r="K61" i="25" s="1"/>
  <c r="AL85" i="25"/>
  <c r="H85" i="25"/>
  <c r="AH85" i="25" s="1"/>
  <c r="S85" i="25"/>
  <c r="K85" i="25" s="1"/>
  <c r="AL15" i="25"/>
  <c r="H15" i="25"/>
  <c r="AH15" i="25" s="1"/>
  <c r="S15" i="25"/>
  <c r="K15" i="25" s="1"/>
  <c r="AL31" i="25"/>
  <c r="H31" i="25"/>
  <c r="AH31" i="25" s="1"/>
  <c r="S31" i="25"/>
  <c r="K31" i="25" s="1"/>
  <c r="AL51" i="25"/>
  <c r="H51" i="25"/>
  <c r="AH51" i="25" s="1"/>
  <c r="S51" i="25"/>
  <c r="K51" i="25" s="1"/>
  <c r="AL67" i="25"/>
  <c r="H67" i="25"/>
  <c r="AH67" i="25" s="1"/>
  <c r="S67" i="25"/>
  <c r="K67" i="25" s="1"/>
  <c r="AL83" i="25"/>
  <c r="H83" i="25"/>
  <c r="AH83" i="25" s="1"/>
  <c r="S83" i="25"/>
  <c r="K83" i="25" s="1"/>
  <c r="H118" i="25"/>
  <c r="AH118" i="25" s="1"/>
  <c r="AL118" i="25"/>
  <c r="S118" i="25"/>
  <c r="K118" i="25" s="1"/>
  <c r="H219" i="25"/>
  <c r="AH219" i="25" s="1"/>
  <c r="AL219" i="25"/>
  <c r="S219" i="25"/>
  <c r="K219" i="25" s="1"/>
  <c r="H227" i="25"/>
  <c r="AH227" i="25" s="1"/>
  <c r="AL227" i="25"/>
  <c r="S227" i="25"/>
  <c r="K227" i="25" s="1"/>
  <c r="AL273" i="25"/>
  <c r="H273" i="25"/>
  <c r="AH273" i="25" s="1"/>
  <c r="S273" i="25"/>
  <c r="K273" i="25" s="1"/>
  <c r="AL92" i="25"/>
  <c r="H92" i="25"/>
  <c r="AH92" i="25" s="1"/>
  <c r="S92" i="25"/>
  <c r="K92" i="25" s="1"/>
  <c r="AL96" i="25"/>
  <c r="H96" i="25"/>
  <c r="AH96" i="25" s="1"/>
  <c r="S96" i="25"/>
  <c r="K96" i="25" s="1"/>
  <c r="AL100" i="25"/>
  <c r="H100" i="25"/>
  <c r="AH100" i="25" s="1"/>
  <c r="S100" i="25"/>
  <c r="K100" i="25" s="1"/>
  <c r="AL104" i="25"/>
  <c r="H104" i="25"/>
  <c r="AH104" i="25" s="1"/>
  <c r="S104" i="25"/>
  <c r="K104" i="25" s="1"/>
  <c r="AL119" i="25"/>
  <c r="H119" i="25"/>
  <c r="AH119" i="25" s="1"/>
  <c r="S119" i="25"/>
  <c r="K119" i="25" s="1"/>
  <c r="H129" i="25"/>
  <c r="AH129" i="25" s="1"/>
  <c r="AL129" i="25"/>
  <c r="S129" i="25"/>
  <c r="K129" i="25" s="1"/>
  <c r="H137" i="25"/>
  <c r="AH137" i="25" s="1"/>
  <c r="AL137" i="25"/>
  <c r="S137" i="25"/>
  <c r="K137" i="25" s="1"/>
  <c r="H145" i="25"/>
  <c r="AH145" i="25" s="1"/>
  <c r="AL145" i="25"/>
  <c r="S145" i="25"/>
  <c r="K145" i="25" s="1"/>
  <c r="H153" i="25"/>
  <c r="AH153" i="25" s="1"/>
  <c r="AL153" i="25"/>
  <c r="S153" i="25"/>
  <c r="K153" i="25" s="1"/>
  <c r="H161" i="25"/>
  <c r="AH161" i="25" s="1"/>
  <c r="AL161" i="25"/>
  <c r="S161" i="25"/>
  <c r="K161" i="25" s="1"/>
  <c r="H169" i="25"/>
  <c r="AH169" i="25" s="1"/>
  <c r="AL169" i="25"/>
  <c r="S169" i="25"/>
  <c r="K169" i="25" s="1"/>
  <c r="H177" i="25"/>
  <c r="AH177" i="25" s="1"/>
  <c r="AL177" i="25"/>
  <c r="S177" i="25"/>
  <c r="K177" i="25" s="1"/>
  <c r="H185" i="25"/>
  <c r="AH185" i="25" s="1"/>
  <c r="AL185" i="25"/>
  <c r="S185" i="25"/>
  <c r="K185" i="25" s="1"/>
  <c r="H193" i="25"/>
  <c r="AH193" i="25" s="1"/>
  <c r="AL193" i="25"/>
  <c r="S193" i="25"/>
  <c r="K193" i="25" s="1"/>
  <c r="H134" i="25"/>
  <c r="AH134" i="25" s="1"/>
  <c r="AL134" i="25"/>
  <c r="S134" i="25"/>
  <c r="K134" i="25" s="1"/>
  <c r="H150" i="25"/>
  <c r="AH150" i="25" s="1"/>
  <c r="AL150" i="25"/>
  <c r="S150" i="25"/>
  <c r="K150" i="25" s="1"/>
  <c r="H166" i="25"/>
  <c r="AH166" i="25" s="1"/>
  <c r="AL166" i="25"/>
  <c r="S166" i="25"/>
  <c r="K166" i="25" s="1"/>
  <c r="H182" i="25"/>
  <c r="AH182" i="25" s="1"/>
  <c r="AL182" i="25"/>
  <c r="S182" i="25"/>
  <c r="K182" i="25" s="1"/>
  <c r="H198" i="25"/>
  <c r="AH198" i="25" s="1"/>
  <c r="AL198" i="25"/>
  <c r="S198" i="25"/>
  <c r="K198" i="25" s="1"/>
  <c r="H229" i="25"/>
  <c r="AH229" i="25" s="1"/>
  <c r="AL229" i="25"/>
  <c r="S229" i="25"/>
  <c r="K229" i="25" s="1"/>
  <c r="H239" i="25"/>
  <c r="AH239" i="25" s="1"/>
  <c r="AL239" i="25"/>
  <c r="S239" i="25"/>
  <c r="K239" i="25" s="1"/>
  <c r="H247" i="25"/>
  <c r="AH247" i="25" s="1"/>
  <c r="AL247" i="25"/>
  <c r="S247" i="25"/>
  <c r="K247" i="25" s="1"/>
  <c r="H255" i="25"/>
  <c r="AH255" i="25" s="1"/>
  <c r="AL255" i="25"/>
  <c r="S255" i="25"/>
  <c r="K255" i="25" s="1"/>
  <c r="H263" i="25"/>
  <c r="AH263" i="25" s="1"/>
  <c r="AL263" i="25"/>
  <c r="S263" i="25"/>
  <c r="K263" i="25" s="1"/>
  <c r="AL270" i="25"/>
  <c r="H270" i="25"/>
  <c r="AH270" i="25" s="1"/>
  <c r="S270" i="25"/>
  <c r="K270" i="25" s="1"/>
  <c r="AL131" i="25"/>
  <c r="H131" i="25"/>
  <c r="AH131" i="25" s="1"/>
  <c r="S131" i="25"/>
  <c r="K131" i="25" s="1"/>
  <c r="AL147" i="25"/>
  <c r="H147" i="25"/>
  <c r="AH147" i="25" s="1"/>
  <c r="S147" i="25"/>
  <c r="K147" i="25" s="1"/>
  <c r="AL163" i="25"/>
  <c r="H163" i="25"/>
  <c r="AH163" i="25" s="1"/>
  <c r="S163" i="25"/>
  <c r="K163" i="25" s="1"/>
  <c r="AL179" i="25"/>
  <c r="H179" i="25"/>
  <c r="AH179" i="25" s="1"/>
  <c r="S179" i="25"/>
  <c r="K179" i="25" s="1"/>
  <c r="AL195" i="25"/>
  <c r="H195" i="25"/>
  <c r="AH195" i="25" s="1"/>
  <c r="S195" i="25"/>
  <c r="K195" i="25" s="1"/>
  <c r="AL205" i="25"/>
  <c r="H205" i="25"/>
  <c r="AH205" i="25" s="1"/>
  <c r="S205" i="25"/>
  <c r="K205" i="25" s="1"/>
  <c r="H220" i="25"/>
  <c r="AH220" i="25" s="1"/>
  <c r="AL220" i="25"/>
  <c r="S220" i="25"/>
  <c r="K220" i="25" s="1"/>
  <c r="H298" i="25"/>
  <c r="AH298" i="25" s="1"/>
  <c r="AL298" i="25"/>
  <c r="S298" i="25"/>
  <c r="K298" i="25" s="1"/>
  <c r="H234" i="25"/>
  <c r="AH234" i="25" s="1"/>
  <c r="AL234" i="25"/>
  <c r="S234" i="25"/>
  <c r="K234" i="25" s="1"/>
  <c r="H250" i="25"/>
  <c r="AH250" i="25" s="1"/>
  <c r="AL250" i="25"/>
  <c r="S250" i="25"/>
  <c r="K250" i="25" s="1"/>
  <c r="H266" i="25"/>
  <c r="AH266" i="25" s="1"/>
  <c r="AL266" i="25"/>
  <c r="S266" i="25"/>
  <c r="K266" i="25" s="1"/>
  <c r="AL200" i="25"/>
  <c r="H200" i="25"/>
  <c r="AH200" i="25" s="1"/>
  <c r="S200" i="25"/>
  <c r="K200" i="25" s="1"/>
  <c r="H237" i="25"/>
  <c r="AH237" i="25" s="1"/>
  <c r="AL237" i="25"/>
  <c r="S237" i="25"/>
  <c r="K237" i="25" s="1"/>
  <c r="H253" i="25"/>
  <c r="AH253" i="25" s="1"/>
  <c r="AL253" i="25"/>
  <c r="S253" i="25"/>
  <c r="K253" i="25" s="1"/>
  <c r="H286" i="25"/>
  <c r="AH286" i="25" s="1"/>
  <c r="AL286" i="25"/>
  <c r="S286" i="25"/>
  <c r="K286" i="25" s="1"/>
  <c r="AL280" i="25"/>
  <c r="H280" i="25"/>
  <c r="AH280" i="25" s="1"/>
  <c r="S280" i="25"/>
  <c r="K280" i="25" s="1"/>
  <c r="AL275" i="25"/>
  <c r="H275" i="25"/>
  <c r="AH275" i="25" s="1"/>
  <c r="S275" i="25"/>
  <c r="K275" i="25" s="1"/>
  <c r="H289" i="25"/>
  <c r="AH289" i="25" s="1"/>
  <c r="AL289" i="25"/>
  <c r="S289" i="25"/>
  <c r="K289" i="25" s="1"/>
  <c r="AL313" i="25"/>
  <c r="H313" i="25"/>
  <c r="AH313" i="25" s="1"/>
  <c r="S313" i="25"/>
  <c r="K313" i="25" s="1"/>
  <c r="H296" i="25"/>
  <c r="AH296" i="25" s="1"/>
  <c r="AL296" i="25"/>
  <c r="S296" i="25"/>
  <c r="K296" i="25" s="1"/>
  <c r="AL311" i="25"/>
  <c r="H311" i="25"/>
  <c r="AH311" i="25" s="1"/>
  <c r="S311" i="25"/>
  <c r="K311" i="25" s="1"/>
  <c r="AL303" i="25"/>
  <c r="H303" i="25"/>
  <c r="AH303" i="25" s="1"/>
  <c r="S303" i="25"/>
  <c r="K303" i="25" s="1"/>
  <c r="AL314" i="25"/>
  <c r="H314" i="25"/>
  <c r="AH314" i="25" s="1"/>
  <c r="S314" i="25"/>
  <c r="K314" i="25" s="1"/>
  <c r="B37" i="2"/>
  <c r="B35" i="2"/>
  <c r="J67" i="23"/>
  <c r="L67" i="23" s="1"/>
  <c r="G71" i="23"/>
  <c r="H71" i="23" s="1"/>
  <c r="G17" i="23"/>
  <c r="H17" i="23" s="1"/>
  <c r="G32" i="23"/>
  <c r="H32" i="23" s="1"/>
  <c r="G54" i="23"/>
  <c r="H54" i="23" s="1"/>
  <c r="G101" i="23"/>
  <c r="H101" i="23" s="1"/>
  <c r="G30" i="23"/>
  <c r="H30" i="23" s="1"/>
  <c r="G51" i="23"/>
  <c r="H51" i="23" s="1"/>
  <c r="J103" i="23"/>
  <c r="K103" i="23" s="1"/>
  <c r="G25" i="23"/>
  <c r="H25" i="23" s="1"/>
  <c r="G80" i="23"/>
  <c r="H80" i="23" s="1"/>
  <c r="G21" i="23"/>
  <c r="H21" i="23" s="1"/>
  <c r="G105" i="23"/>
  <c r="H105" i="23" s="1"/>
  <c r="J63" i="23"/>
  <c r="L63" i="23" s="1"/>
  <c r="J88" i="23"/>
  <c r="K88" i="23" s="1"/>
  <c r="J49" i="23"/>
  <c r="K49" i="23" s="1"/>
  <c r="G92" i="23"/>
  <c r="H92" i="23" s="1"/>
  <c r="G22" i="23"/>
  <c r="H22" i="23" s="1"/>
  <c r="J20" i="23"/>
  <c r="L20" i="23" s="1"/>
  <c r="G53" i="23"/>
  <c r="H53" i="23" s="1"/>
  <c r="G73" i="23"/>
  <c r="H73" i="23" s="1"/>
  <c r="G46" i="23"/>
  <c r="H46" i="23" s="1"/>
  <c r="G6" i="23"/>
  <c r="H6" i="23" s="1"/>
  <c r="G94" i="23"/>
  <c r="H94" i="23" s="1"/>
  <c r="G90" i="23"/>
  <c r="H90" i="23" s="1"/>
  <c r="G14" i="23"/>
  <c r="H14" i="23" s="1"/>
  <c r="J60" i="23"/>
  <c r="K60" i="23" s="1"/>
  <c r="J10" i="8"/>
  <c r="B163" i="2" s="1"/>
  <c r="B227" i="2" s="1"/>
  <c r="J84" i="23"/>
  <c r="L84" i="23" s="1"/>
  <c r="G81" i="23"/>
  <c r="H81" i="23" s="1"/>
  <c r="H187" i="24"/>
  <c r="AM187" i="24"/>
  <c r="H125" i="24"/>
  <c r="AM125" i="24"/>
  <c r="H294" i="24"/>
  <c r="AM294" i="24"/>
  <c r="AM242" i="24"/>
  <c r="H242" i="24"/>
  <c r="AM174" i="24"/>
  <c r="H174" i="24"/>
  <c r="H142" i="24"/>
  <c r="AM142" i="24"/>
  <c r="H297" i="24"/>
  <c r="AM297" i="24"/>
  <c r="H265" i="24"/>
  <c r="AM265" i="24"/>
  <c r="H183" i="24"/>
  <c r="AM183" i="24"/>
  <c r="H254" i="24"/>
  <c r="AM254" i="24"/>
  <c r="AM197" i="24"/>
  <c r="H197" i="24"/>
  <c r="AM137" i="24"/>
  <c r="H137" i="24"/>
  <c r="H292" i="24"/>
  <c r="AM292" i="24"/>
  <c r="H260" i="24"/>
  <c r="AM260" i="24"/>
  <c r="H228" i="24"/>
  <c r="AM228" i="24"/>
  <c r="H298" i="24"/>
  <c r="AM298" i="24"/>
  <c r="H128" i="24"/>
  <c r="AM128" i="24"/>
  <c r="H115" i="24"/>
  <c r="AM115" i="24"/>
  <c r="AM161" i="24"/>
  <c r="H161" i="24"/>
  <c r="AM204" i="24"/>
  <c r="H204" i="24"/>
  <c r="AM188" i="24"/>
  <c r="H188" i="24"/>
  <c r="AM156" i="24"/>
  <c r="H156" i="24"/>
  <c r="H295" i="24"/>
  <c r="AM295" i="24"/>
  <c r="H263" i="24"/>
  <c r="AM263" i="24"/>
  <c r="H247" i="24"/>
  <c r="AM247" i="24"/>
  <c r="H117" i="24"/>
  <c r="AM117" i="24"/>
  <c r="H195" i="24"/>
  <c r="AM195" i="24"/>
  <c r="H207" i="24"/>
  <c r="AM207" i="24"/>
  <c r="H147" i="24"/>
  <c r="AM147" i="24"/>
  <c r="H282" i="24"/>
  <c r="AM282" i="24"/>
  <c r="AM226" i="24"/>
  <c r="H226" i="24"/>
  <c r="H186" i="24"/>
  <c r="AM186" i="24"/>
  <c r="AM170" i="24"/>
  <c r="H170" i="24"/>
  <c r="H154" i="24"/>
  <c r="AM154" i="24"/>
  <c r="AM138" i="24"/>
  <c r="H138" i="24"/>
  <c r="AM309" i="24"/>
  <c r="H309" i="24"/>
  <c r="AM293" i="24"/>
  <c r="H293" i="24"/>
  <c r="H277" i="24"/>
  <c r="AM277" i="24"/>
  <c r="AM261" i="24"/>
  <c r="H261" i="24"/>
  <c r="H245" i="24"/>
  <c r="AM245" i="24"/>
  <c r="AM229" i="24"/>
  <c r="H229" i="24"/>
  <c r="AM167" i="24"/>
  <c r="H167" i="24"/>
  <c r="AM290" i="24"/>
  <c r="H290" i="24"/>
  <c r="AM238" i="24"/>
  <c r="H238" i="24"/>
  <c r="AM190" i="24"/>
  <c r="H190" i="24"/>
  <c r="AM185" i="24"/>
  <c r="H185" i="24"/>
  <c r="AM149" i="24"/>
  <c r="H149" i="24"/>
  <c r="H133" i="24"/>
  <c r="AM133" i="24"/>
  <c r="AM304" i="24"/>
  <c r="H304" i="24"/>
  <c r="AM288" i="24"/>
  <c r="H288" i="24"/>
  <c r="H272" i="24"/>
  <c r="AM272" i="24"/>
  <c r="AM256" i="24"/>
  <c r="H256" i="24"/>
  <c r="AM240" i="24"/>
  <c r="H240" i="24"/>
  <c r="AM224" i="24"/>
  <c r="H224" i="24"/>
  <c r="AM159" i="24"/>
  <c r="H159" i="24"/>
  <c r="AM217" i="24"/>
  <c r="H217" i="24"/>
  <c r="AM286" i="24"/>
  <c r="H286" i="24"/>
  <c r="H246" i="24"/>
  <c r="AM246" i="24"/>
  <c r="AM124" i="24"/>
  <c r="H124" i="24"/>
  <c r="H112" i="24"/>
  <c r="AM112" i="24"/>
  <c r="AM205" i="24"/>
  <c r="H205" i="24"/>
  <c r="AM181" i="24"/>
  <c r="H181" i="24"/>
  <c r="H157" i="24"/>
  <c r="AM157" i="24"/>
  <c r="AM118" i="24"/>
  <c r="H118" i="24"/>
  <c r="AM200" i="24"/>
  <c r="H200" i="24"/>
  <c r="AM184" i="24"/>
  <c r="H184" i="24"/>
  <c r="H168" i="24"/>
  <c r="AM168" i="24"/>
  <c r="H152" i="24"/>
  <c r="AM152" i="24"/>
  <c r="AM136" i="24"/>
  <c r="H136" i="24"/>
  <c r="AM307" i="24"/>
  <c r="H307" i="24"/>
  <c r="AM291" i="24"/>
  <c r="H291" i="24"/>
  <c r="AM275" i="24"/>
  <c r="H275" i="24"/>
  <c r="AM259" i="24"/>
  <c r="H259" i="24"/>
  <c r="AM243" i="24"/>
  <c r="H243" i="24"/>
  <c r="H227" i="24"/>
  <c r="AM227" i="24"/>
  <c r="AM113" i="24"/>
  <c r="H113" i="24"/>
  <c r="AM163" i="24"/>
  <c r="H163" i="24"/>
  <c r="H202" i="24"/>
  <c r="AM202" i="24"/>
  <c r="AM158" i="24"/>
  <c r="H158" i="24"/>
  <c r="AM313" i="24"/>
  <c r="H313" i="24"/>
  <c r="H281" i="24"/>
  <c r="AM281" i="24"/>
  <c r="AM249" i="24"/>
  <c r="H249" i="24"/>
  <c r="H233" i="24"/>
  <c r="AM233" i="24"/>
  <c r="H306" i="24"/>
  <c r="AM306" i="24"/>
  <c r="AM198" i="24"/>
  <c r="H198" i="24"/>
  <c r="H153" i="24"/>
  <c r="AM153" i="24"/>
  <c r="H308" i="24"/>
  <c r="AM308" i="24"/>
  <c r="AM276" i="24"/>
  <c r="H276" i="24"/>
  <c r="AM244" i="24"/>
  <c r="H244" i="24"/>
  <c r="AM171" i="24"/>
  <c r="H171" i="24"/>
  <c r="H135" i="24"/>
  <c r="AM135" i="24"/>
  <c r="H258" i="24"/>
  <c r="AM258" i="24"/>
  <c r="H194" i="24"/>
  <c r="AM194" i="24"/>
  <c r="H189" i="24"/>
  <c r="AM189" i="24"/>
  <c r="AM122" i="24"/>
  <c r="H122" i="24"/>
  <c r="H172" i="24"/>
  <c r="AM172" i="24"/>
  <c r="H140" i="24"/>
  <c r="AM140" i="24"/>
  <c r="AM311" i="24"/>
  <c r="H311" i="24"/>
  <c r="AM279" i="24"/>
  <c r="H279" i="24"/>
  <c r="AM231" i="24"/>
  <c r="H231" i="24"/>
  <c r="H199" i="24"/>
  <c r="AM199" i="24"/>
  <c r="AM121" i="24"/>
  <c r="H121" i="24"/>
  <c r="H191" i="24"/>
  <c r="AM191" i="24"/>
  <c r="H131" i="24"/>
  <c r="AM131" i="24"/>
  <c r="AM262" i="24"/>
  <c r="H262" i="24"/>
  <c r="AM111" i="24"/>
  <c r="H111" i="24"/>
  <c r="AM182" i="24"/>
  <c r="H182" i="24"/>
  <c r="H166" i="24"/>
  <c r="AM166" i="24"/>
  <c r="AM150" i="24"/>
  <c r="H150" i="24"/>
  <c r="H134" i="24"/>
  <c r="AM134" i="24"/>
  <c r="AM305" i="24"/>
  <c r="H305" i="24"/>
  <c r="H289" i="24"/>
  <c r="AM289" i="24"/>
  <c r="H273" i="24"/>
  <c r="AM273" i="24"/>
  <c r="H257" i="24"/>
  <c r="AM257" i="24"/>
  <c r="H241" i="24"/>
  <c r="AM241" i="24"/>
  <c r="AM225" i="24"/>
  <c r="H225" i="24"/>
  <c r="AM155" i="24"/>
  <c r="H155" i="24"/>
  <c r="H278" i="24"/>
  <c r="AM278" i="24"/>
  <c r="AM230" i="24"/>
  <c r="H230" i="24"/>
  <c r="AM123" i="24"/>
  <c r="H123" i="24"/>
  <c r="AM173" i="24"/>
  <c r="H173" i="24"/>
  <c r="AM145" i="24"/>
  <c r="H145" i="24"/>
  <c r="AM316" i="24"/>
  <c r="H316" i="24"/>
  <c r="H300" i="24"/>
  <c r="AM300" i="24"/>
  <c r="AM284" i="24"/>
  <c r="H284" i="24"/>
  <c r="AM268" i="24"/>
  <c r="H268" i="24"/>
  <c r="AM252" i="24"/>
  <c r="H252" i="24"/>
  <c r="AM236" i="24"/>
  <c r="H236" i="24"/>
  <c r="AM220" i="24"/>
  <c r="H220" i="24"/>
  <c r="H151" i="24"/>
  <c r="AM151" i="24"/>
  <c r="H314" i="24"/>
  <c r="AM314" i="24"/>
  <c r="H274" i="24"/>
  <c r="AM274" i="24"/>
  <c r="H234" i="24"/>
  <c r="AM234" i="24"/>
  <c r="H210" i="24"/>
  <c r="AM210" i="24"/>
  <c r="H127" i="24"/>
  <c r="AM127" i="24"/>
  <c r="AM201" i="24"/>
  <c r="H201" i="24"/>
  <c r="AM177" i="24"/>
  <c r="H177" i="24"/>
  <c r="H130" i="24"/>
  <c r="AM130" i="24"/>
  <c r="H114" i="24"/>
  <c r="AM114" i="24"/>
  <c r="AM196" i="24"/>
  <c r="H196" i="24"/>
  <c r="AM180" i="24"/>
  <c r="H180" i="24"/>
  <c r="H164" i="24"/>
  <c r="AM164" i="24"/>
  <c r="AM148" i="24"/>
  <c r="H148" i="24"/>
  <c r="H132" i="24"/>
  <c r="AM132" i="24"/>
  <c r="H303" i="24"/>
  <c r="AM303" i="24"/>
  <c r="H287" i="24"/>
  <c r="AM287" i="24"/>
  <c r="AM271" i="24"/>
  <c r="H271" i="24"/>
  <c r="AM255" i="24"/>
  <c r="H255" i="24"/>
  <c r="H239" i="24"/>
  <c r="AM239" i="24"/>
  <c r="H223" i="24"/>
  <c r="AM223" i="24"/>
  <c r="H203" i="24"/>
  <c r="AM203" i="24"/>
  <c r="AM129" i="24"/>
  <c r="H129" i="24"/>
  <c r="H179" i="24"/>
  <c r="AM179" i="24"/>
  <c r="H310" i="24"/>
  <c r="AM310" i="24"/>
  <c r="H250" i="24"/>
  <c r="AM250" i="24"/>
  <c r="H120" i="24"/>
  <c r="AM120" i="24"/>
  <c r="H178" i="24"/>
  <c r="AM178" i="24"/>
  <c r="AM162" i="24"/>
  <c r="H162" i="24"/>
  <c r="H146" i="24"/>
  <c r="AM146" i="24"/>
  <c r="AM218" i="24"/>
  <c r="H218" i="24"/>
  <c r="H301" i="24"/>
  <c r="AM301" i="24"/>
  <c r="AM285" i="24"/>
  <c r="H285" i="24"/>
  <c r="H269" i="24"/>
  <c r="AM269" i="24"/>
  <c r="H253" i="24"/>
  <c r="AM253" i="24"/>
  <c r="AM237" i="24"/>
  <c r="H237" i="24"/>
  <c r="H221" i="24"/>
  <c r="AM221" i="24"/>
  <c r="AM139" i="24"/>
  <c r="H139" i="24"/>
  <c r="AM266" i="24"/>
  <c r="H266" i="24"/>
  <c r="AM116" i="24"/>
  <c r="H116" i="24"/>
  <c r="AM209" i="24"/>
  <c r="H209" i="24"/>
  <c r="AM165" i="24"/>
  <c r="H165" i="24"/>
  <c r="H141" i="24"/>
  <c r="AM141" i="24"/>
  <c r="H312" i="24"/>
  <c r="AM312" i="24"/>
  <c r="AM296" i="24"/>
  <c r="H296" i="24"/>
  <c r="H280" i="24"/>
  <c r="AM280" i="24"/>
  <c r="AM264" i="24"/>
  <c r="H264" i="24"/>
  <c r="AM248" i="24"/>
  <c r="H248" i="24"/>
  <c r="H232" i="24"/>
  <c r="AM232" i="24"/>
  <c r="H175" i="24"/>
  <c r="AM175" i="24"/>
  <c r="H143" i="24"/>
  <c r="AM143" i="24"/>
  <c r="H302" i="24"/>
  <c r="AM302" i="24"/>
  <c r="H270" i="24"/>
  <c r="AM270" i="24"/>
  <c r="AM222" i="24"/>
  <c r="H222" i="24"/>
  <c r="AM206" i="24"/>
  <c r="H206" i="24"/>
  <c r="H119" i="24"/>
  <c r="AM119" i="24"/>
  <c r="H193" i="24"/>
  <c r="AM193" i="24"/>
  <c r="AM169" i="24"/>
  <c r="H169" i="24"/>
  <c r="H126" i="24"/>
  <c r="AM126" i="24"/>
  <c r="AM208" i="24"/>
  <c r="H208" i="24"/>
  <c r="AM192" i="24"/>
  <c r="H192" i="24"/>
  <c r="AM176" i="24"/>
  <c r="H176" i="24"/>
  <c r="H160" i="24"/>
  <c r="AM160" i="24"/>
  <c r="H144" i="24"/>
  <c r="AM144" i="24"/>
  <c r="AM315" i="24"/>
  <c r="H315" i="24"/>
  <c r="AM299" i="24"/>
  <c r="H299" i="24"/>
  <c r="H283" i="24"/>
  <c r="AM283" i="24"/>
  <c r="H267" i="24"/>
  <c r="AM267" i="24"/>
  <c r="H251" i="24"/>
  <c r="AM251" i="24"/>
  <c r="H235" i="24"/>
  <c r="AM235" i="24"/>
  <c r="AM219" i="24"/>
  <c r="H219" i="24"/>
  <c r="G52" i="23"/>
  <c r="H52" i="23" s="1"/>
  <c r="G87" i="23"/>
  <c r="H87" i="23" s="1"/>
  <c r="G47" i="23"/>
  <c r="H47" i="23" s="1"/>
  <c r="G15" i="23"/>
  <c r="H15" i="23" s="1"/>
  <c r="P300" i="24"/>
  <c r="P274" i="24"/>
  <c r="P306" i="24"/>
  <c r="P227" i="24"/>
  <c r="P255" i="24"/>
  <c r="P284" i="24"/>
  <c r="P316" i="24"/>
  <c r="P237" i="24"/>
  <c r="P308" i="24"/>
  <c r="P246" i="24"/>
  <c r="P262" i="24"/>
  <c r="P294" i="24"/>
  <c r="P310" i="24"/>
  <c r="P231" i="24"/>
  <c r="P295" i="24"/>
  <c r="P292" i="24"/>
  <c r="P225" i="24"/>
  <c r="P241" i="24"/>
  <c r="P257" i="24"/>
  <c r="P289" i="24"/>
  <c r="P259" i="24"/>
  <c r="P288" i="24"/>
  <c r="P218" i="24"/>
  <c r="P266" i="24"/>
  <c r="P239" i="24"/>
  <c r="P304" i="24"/>
  <c r="P229" i="24"/>
  <c r="G34" i="23"/>
  <c r="H34" i="23" s="1"/>
  <c r="P217" i="24"/>
  <c r="P233" i="24"/>
  <c r="P249" i="24"/>
  <c r="P265" i="24"/>
  <c r="P313" i="24"/>
  <c r="P275" i="24"/>
  <c r="P303" i="24"/>
  <c r="P240" i="24"/>
  <c r="P226" i="24"/>
  <c r="P242" i="24"/>
  <c r="P258" i="24"/>
  <c r="P290" i="24"/>
  <c r="P287" i="24"/>
  <c r="P220" i="24"/>
  <c r="P252" i="24"/>
  <c r="P269" i="24"/>
  <c r="P301" i="24"/>
  <c r="P251" i="24"/>
  <c r="P283" i="24"/>
  <c r="P311" i="24"/>
  <c r="P248" i="24"/>
  <c r="P230" i="24"/>
  <c r="P278" i="24"/>
  <c r="P263" i="24"/>
  <c r="P228" i="24"/>
  <c r="P260" i="24"/>
  <c r="P293" i="24"/>
  <c r="P281" i="24"/>
  <c r="P297" i="24"/>
  <c r="P243" i="24"/>
  <c r="P272" i="24"/>
  <c r="P221" i="24"/>
  <c r="P253" i="24"/>
  <c r="P285" i="24"/>
  <c r="P280" i="24"/>
  <c r="P256" i="24"/>
  <c r="P277" i="24"/>
  <c r="P309" i="24"/>
  <c r="P235" i="24"/>
  <c r="P296" i="24"/>
  <c r="P222" i="24"/>
  <c r="P286" i="24"/>
  <c r="P302" i="24"/>
  <c r="P247" i="24"/>
  <c r="P244" i="24"/>
  <c r="P276" i="24"/>
  <c r="P312" i="24"/>
  <c r="P273" i="24"/>
  <c r="P305" i="24"/>
  <c r="P219" i="24"/>
  <c r="P291" i="24"/>
  <c r="P224" i="24"/>
  <c r="P234" i="24"/>
  <c r="P250" i="24"/>
  <c r="P282" i="24"/>
  <c r="P298" i="24"/>
  <c r="P314" i="24"/>
  <c r="P271" i="24"/>
  <c r="P307" i="24"/>
  <c r="P236" i="24"/>
  <c r="P268" i="24"/>
  <c r="P245" i="24"/>
  <c r="P261" i="24"/>
  <c r="P267" i="24"/>
  <c r="P299" i="24"/>
  <c r="P232" i="24"/>
  <c r="P264" i="24"/>
  <c r="P238" i="24"/>
  <c r="P254" i="24"/>
  <c r="P270" i="24"/>
  <c r="P223" i="24"/>
  <c r="P279" i="24"/>
  <c r="P315" i="24"/>
  <c r="AM104" i="24"/>
  <c r="AM40" i="24"/>
  <c r="AM95" i="24"/>
  <c r="AM31" i="24"/>
  <c r="AM81" i="24"/>
  <c r="AM58" i="24"/>
  <c r="AM10" i="24"/>
  <c r="AM65" i="24"/>
  <c r="AM100" i="24"/>
  <c r="AM36" i="24"/>
  <c r="AM37" i="24"/>
  <c r="AM43" i="24"/>
  <c r="AM69" i="24"/>
  <c r="AM54" i="24"/>
  <c r="AM22" i="24"/>
  <c r="AM85" i="24"/>
  <c r="AM49" i="24"/>
  <c r="AM25" i="24"/>
  <c r="AM9" i="24"/>
  <c r="AM92" i="24"/>
  <c r="AM76" i="24"/>
  <c r="AM60" i="24"/>
  <c r="AM44" i="24"/>
  <c r="AM28" i="24"/>
  <c r="AM12" i="24"/>
  <c r="AM73" i="24"/>
  <c r="AM99" i="24"/>
  <c r="AM83" i="24"/>
  <c r="AM67" i="24"/>
  <c r="AM51" i="24"/>
  <c r="AM35" i="24"/>
  <c r="AM19" i="24"/>
  <c r="AM93" i="24"/>
  <c r="AM41" i="24"/>
  <c r="AM94" i="24"/>
  <c r="AM78" i="24"/>
  <c r="AM62" i="24"/>
  <c r="AM46" i="24"/>
  <c r="AM30" i="24"/>
  <c r="AM14" i="24"/>
  <c r="AM77" i="24"/>
  <c r="AM88" i="24"/>
  <c r="AM56" i="24"/>
  <c r="AM61" i="24"/>
  <c r="AM63" i="24"/>
  <c r="AM42" i="24"/>
  <c r="AM17" i="24"/>
  <c r="AM68" i="24"/>
  <c r="AM101" i="24"/>
  <c r="AM75" i="24"/>
  <c r="AM11" i="24"/>
  <c r="AM70" i="24"/>
  <c r="AM45" i="24"/>
  <c r="AM21" i="24"/>
  <c r="AM72" i="24"/>
  <c r="AM24" i="24"/>
  <c r="AM8" i="24"/>
  <c r="AM79" i="24"/>
  <c r="AM47" i="24"/>
  <c r="AM15" i="24"/>
  <c r="AM90" i="24"/>
  <c r="AM74" i="24"/>
  <c r="AM26" i="24"/>
  <c r="AM105" i="24"/>
  <c r="AM33" i="24"/>
  <c r="AM84" i="24"/>
  <c r="AM52" i="24"/>
  <c r="AM20" i="24"/>
  <c r="AM91" i="24"/>
  <c r="AM59" i="24"/>
  <c r="AM27" i="24"/>
  <c r="AM102" i="24"/>
  <c r="AM86" i="24"/>
  <c r="AM38" i="24"/>
  <c r="AM6" i="24"/>
  <c r="AM97" i="24"/>
  <c r="AM57" i="24"/>
  <c r="AM29" i="24"/>
  <c r="AM13" i="24"/>
  <c r="AM96" i="24"/>
  <c r="AM80" i="24"/>
  <c r="AM64" i="24"/>
  <c r="AM48" i="24"/>
  <c r="AM32" i="24"/>
  <c r="AM16" i="24"/>
  <c r="AM89" i="24"/>
  <c r="AM103" i="24"/>
  <c r="AM87" i="24"/>
  <c r="AM71" i="24"/>
  <c r="AM55" i="24"/>
  <c r="AM39" i="24"/>
  <c r="AM23" i="24"/>
  <c r="AM7" i="24"/>
  <c r="AM53" i="24"/>
  <c r="AM98" i="24"/>
  <c r="AM82" i="24"/>
  <c r="AM66" i="24"/>
  <c r="AM50" i="24"/>
  <c r="AM34" i="24"/>
  <c r="AM18" i="24"/>
  <c r="Q34" i="23"/>
  <c r="Q44" i="23"/>
  <c r="Q106" i="23"/>
  <c r="Q14" i="23"/>
  <c r="Q81" i="23"/>
  <c r="Q91" i="23"/>
  <c r="Q6" i="23"/>
  <c r="Q48" i="23"/>
  <c r="Q82" i="23"/>
  <c r="Q93" i="23"/>
  <c r="Q22" i="23"/>
  <c r="Q99" i="23"/>
  <c r="Q42" i="23"/>
  <c r="Q35" i="23"/>
  <c r="H49" i="24"/>
  <c r="H92" i="24"/>
  <c r="H28" i="24"/>
  <c r="H67" i="24"/>
  <c r="H19" i="24"/>
  <c r="H94" i="24"/>
  <c r="H46" i="24"/>
  <c r="H30" i="24"/>
  <c r="Q9" i="23"/>
  <c r="Q78" i="23"/>
  <c r="Q75" i="23"/>
  <c r="Q88" i="23"/>
  <c r="Q63" i="23"/>
  <c r="Q101" i="23"/>
  <c r="Q29" i="23"/>
  <c r="Q98" i="23"/>
  <c r="Q19" i="23"/>
  <c r="Q12" i="23"/>
  <c r="Q89" i="23"/>
  <c r="Q33" i="23"/>
  <c r="Q38" i="23"/>
  <c r="Q102" i="23"/>
  <c r="Q27" i="23"/>
  <c r="Q95" i="23"/>
  <c r="Q37" i="23"/>
  <c r="Q58" i="23"/>
  <c r="Q7" i="23"/>
  <c r="Q28" i="23"/>
  <c r="Q47" i="23"/>
  <c r="J24" i="23"/>
  <c r="K24" i="23" s="1"/>
  <c r="J97" i="23"/>
  <c r="K97" i="23" s="1"/>
  <c r="H77" i="24"/>
  <c r="H45" i="24"/>
  <c r="H21" i="24"/>
  <c r="H104" i="24"/>
  <c r="H88" i="24"/>
  <c r="H72" i="24"/>
  <c r="H56" i="24"/>
  <c r="H40" i="24"/>
  <c r="H24" i="24"/>
  <c r="H8" i="24"/>
  <c r="H61" i="24"/>
  <c r="H95" i="24"/>
  <c r="H79" i="24"/>
  <c r="H63" i="24"/>
  <c r="H47" i="24"/>
  <c r="H31" i="24"/>
  <c r="H15" i="24"/>
  <c r="H81" i="24"/>
  <c r="H5" i="24"/>
  <c r="BY5" i="24" s="1"/>
  <c r="H90" i="24"/>
  <c r="H74" i="24"/>
  <c r="H58" i="24"/>
  <c r="H42" i="24"/>
  <c r="H26" i="24"/>
  <c r="H10" i="24"/>
  <c r="Q23" i="23"/>
  <c r="Q59" i="23"/>
  <c r="Q13" i="23"/>
  <c r="Q76" i="23"/>
  <c r="Q17" i="23"/>
  <c r="Q96" i="23"/>
  <c r="Q21" i="23"/>
  <c r="Q87" i="23"/>
  <c r="H25" i="24"/>
  <c r="H76" i="24"/>
  <c r="H12" i="24"/>
  <c r="H99" i="24"/>
  <c r="H35" i="24"/>
  <c r="H41" i="24"/>
  <c r="H62" i="24"/>
  <c r="H14" i="24"/>
  <c r="Q94" i="23"/>
  <c r="Q71" i="23"/>
  <c r="Q84" i="23"/>
  <c r="Q24" i="23"/>
  <c r="Q97" i="23"/>
  <c r="Q54" i="23"/>
  <c r="Q103" i="23"/>
  <c r="Q20" i="23"/>
  <c r="Q31" i="23"/>
  <c r="Q10" i="23"/>
  <c r="Q40" i="23"/>
  <c r="Q64" i="23"/>
  <c r="Q61" i="23"/>
  <c r="Q57" i="23"/>
  <c r="H105" i="24"/>
  <c r="H65" i="24"/>
  <c r="H33" i="24"/>
  <c r="H17" i="24"/>
  <c r="H100" i="24"/>
  <c r="H84" i="24"/>
  <c r="H68" i="24"/>
  <c r="H52" i="24"/>
  <c r="H36" i="24"/>
  <c r="H20" i="24"/>
  <c r="H101" i="24"/>
  <c r="H37" i="24"/>
  <c r="H91" i="24"/>
  <c r="H75" i="24"/>
  <c r="H59" i="24"/>
  <c r="H43" i="24"/>
  <c r="H27" i="24"/>
  <c r="H11" i="24"/>
  <c r="H69" i="24"/>
  <c r="H102" i="24"/>
  <c r="H86" i="24"/>
  <c r="H70" i="24"/>
  <c r="H54" i="24"/>
  <c r="H38" i="24"/>
  <c r="H22" i="24"/>
  <c r="H6" i="24"/>
  <c r="Q62" i="23"/>
  <c r="Q67" i="23"/>
  <c r="Q36" i="23"/>
  <c r="Q85" i="23"/>
  <c r="Q68" i="23"/>
  <c r="Q86" i="23"/>
  <c r="Q73" i="23"/>
  <c r="Q104" i="23"/>
  <c r="Q100" i="23"/>
  <c r="H85" i="24"/>
  <c r="H9" i="24"/>
  <c r="H60" i="24"/>
  <c r="H44" i="24"/>
  <c r="H73" i="24"/>
  <c r="H83" i="24"/>
  <c r="H51" i="24"/>
  <c r="H93" i="24"/>
  <c r="H78" i="24"/>
  <c r="Q25" i="23"/>
  <c r="Q30" i="23"/>
  <c r="Q11" i="23"/>
  <c r="Q45" i="23"/>
  <c r="Q50" i="23"/>
  <c r="Q51" i="23"/>
  <c r="Q15" i="23"/>
  <c r="Q49" i="23"/>
  <c r="Q32" i="23"/>
  <c r="Q56" i="23"/>
  <c r="Q74" i="23"/>
  <c r="G82" i="23"/>
  <c r="H82" i="23" s="1"/>
  <c r="G102" i="23"/>
  <c r="H102" i="23" s="1"/>
  <c r="G13" i="23"/>
  <c r="H13" i="23" s="1"/>
  <c r="G104" i="23"/>
  <c r="H104" i="23" s="1"/>
  <c r="Q41" i="23"/>
  <c r="Q46" i="23"/>
  <c r="Q16" i="23"/>
  <c r="Q92" i="23"/>
  <c r="Q43" i="23"/>
  <c r="Q105" i="23"/>
  <c r="Q18" i="23"/>
  <c r="Q66" i="23"/>
  <c r="Q55" i="23"/>
  <c r="Q39" i="23"/>
  <c r="Q72" i="23"/>
  <c r="Q69" i="23"/>
  <c r="Q70" i="23"/>
  <c r="Q60" i="23"/>
  <c r="Q53" i="23"/>
  <c r="Q77" i="23"/>
  <c r="Q52" i="23"/>
  <c r="Q80" i="23"/>
  <c r="Q26" i="23"/>
  <c r="Q90" i="23"/>
  <c r="Q65" i="23"/>
  <c r="Q8" i="23"/>
  <c r="Q83" i="23"/>
  <c r="Q79" i="23"/>
  <c r="H97" i="24"/>
  <c r="H57" i="24"/>
  <c r="H29" i="24"/>
  <c r="H13" i="24"/>
  <c r="H96" i="24"/>
  <c r="H80" i="24"/>
  <c r="H64" i="24"/>
  <c r="H48" i="24"/>
  <c r="H32" i="24"/>
  <c r="H16" i="24"/>
  <c r="H89" i="24"/>
  <c r="H103" i="24"/>
  <c r="H87" i="24"/>
  <c r="H71" i="24"/>
  <c r="H55" i="24"/>
  <c r="H39" i="24"/>
  <c r="H23" i="24"/>
  <c r="H7" i="24"/>
  <c r="H53" i="24"/>
  <c r="H98" i="24"/>
  <c r="H82" i="24"/>
  <c r="H66" i="24"/>
  <c r="H50" i="24"/>
  <c r="H34" i="24"/>
  <c r="H18" i="24"/>
  <c r="G85" i="23"/>
  <c r="H85" i="23" s="1"/>
  <c r="J83" i="23"/>
  <c r="L83" i="23" s="1"/>
  <c r="G12" i="23"/>
  <c r="H12" i="23" s="1"/>
  <c r="J65" i="23"/>
  <c r="L65" i="23" s="1"/>
  <c r="G61" i="23"/>
  <c r="H61" i="23" s="1"/>
  <c r="J58" i="23"/>
  <c r="L58" i="23" s="1"/>
  <c r="J100" i="23"/>
  <c r="K100" i="23" s="1"/>
  <c r="G26" i="23"/>
  <c r="H26" i="23" s="1"/>
  <c r="G91" i="23"/>
  <c r="H91" i="23" s="1"/>
  <c r="G40" i="23"/>
  <c r="H40" i="23" s="1"/>
  <c r="G55" i="23"/>
  <c r="H55" i="23" s="1"/>
  <c r="J74" i="23"/>
  <c r="L74" i="23" s="1"/>
  <c r="G35" i="23"/>
  <c r="H35" i="23" s="1"/>
  <c r="G68" i="23"/>
  <c r="H68" i="23" s="1"/>
  <c r="G29" i="23"/>
  <c r="H29" i="23" s="1"/>
  <c r="J72" i="23"/>
  <c r="K72" i="23" s="1"/>
  <c r="G45" i="23"/>
  <c r="H45" i="23" s="1"/>
  <c r="J66" i="23"/>
  <c r="L66" i="23" s="1"/>
  <c r="J95" i="23"/>
  <c r="K95" i="23" s="1"/>
  <c r="J93" i="23"/>
  <c r="L93" i="23" s="1"/>
  <c r="J42" i="23"/>
  <c r="L42" i="23" s="1"/>
  <c r="J57" i="23"/>
  <c r="K57" i="23" s="1"/>
  <c r="G37" i="23"/>
  <c r="H37" i="23" s="1"/>
  <c r="G50" i="23"/>
  <c r="H50" i="23" s="1"/>
  <c r="G64" i="23"/>
  <c r="H64" i="23" s="1"/>
  <c r="G18" i="23"/>
  <c r="H18" i="23" s="1"/>
  <c r="G10" i="23"/>
  <c r="H10" i="23" s="1"/>
  <c r="G28" i="23"/>
  <c r="H28" i="23" s="1"/>
  <c r="G8" i="23"/>
  <c r="H8" i="23" s="1"/>
  <c r="G19" i="23"/>
  <c r="H19" i="23" s="1"/>
  <c r="K26" i="23"/>
  <c r="L26" i="23"/>
  <c r="K44" i="23"/>
  <c r="L44" i="23"/>
  <c r="K102" i="23"/>
  <c r="L102" i="23"/>
  <c r="L56" i="23"/>
  <c r="K56" i="23"/>
  <c r="L35" i="23"/>
  <c r="K35" i="23"/>
  <c r="K13" i="23"/>
  <c r="L13" i="23"/>
  <c r="K30" i="23"/>
  <c r="L30" i="23"/>
  <c r="K73" i="23"/>
  <c r="L73" i="23"/>
  <c r="L16" i="23"/>
  <c r="K16" i="23"/>
  <c r="L43" i="23"/>
  <c r="K43" i="23"/>
  <c r="K33" i="23"/>
  <c r="L33" i="23"/>
  <c r="K92" i="23"/>
  <c r="L92" i="23"/>
  <c r="L59" i="23"/>
  <c r="K59" i="23"/>
  <c r="L104" i="23"/>
  <c r="K104" i="23"/>
  <c r="L47" i="23"/>
  <c r="K47" i="23"/>
  <c r="K45" i="23"/>
  <c r="L45" i="23"/>
  <c r="K101" i="23"/>
  <c r="L101" i="23"/>
  <c r="K37" i="23"/>
  <c r="L37" i="23"/>
  <c r="L79" i="23"/>
  <c r="K79" i="23"/>
  <c r="K22" i="23"/>
  <c r="L22" i="23"/>
  <c r="L12" i="23"/>
  <c r="K12" i="23"/>
  <c r="L39" i="23"/>
  <c r="K39" i="23"/>
  <c r="K21" i="23"/>
  <c r="L21" i="23"/>
  <c r="L75" i="23"/>
  <c r="K75" i="23"/>
  <c r="K17" i="23"/>
  <c r="L17" i="23"/>
  <c r="L71" i="23"/>
  <c r="K71" i="23"/>
  <c r="K69" i="23"/>
  <c r="L69" i="23"/>
  <c r="K9" i="23"/>
  <c r="L9" i="23"/>
  <c r="K29" i="23"/>
  <c r="L29" i="23"/>
  <c r="K14" i="23"/>
  <c r="L14" i="23"/>
  <c r="K53" i="23"/>
  <c r="L53" i="23"/>
  <c r="L55" i="23"/>
  <c r="K55" i="23"/>
  <c r="L51" i="23"/>
  <c r="K51" i="23"/>
  <c r="K41" i="23"/>
  <c r="L41" i="23"/>
  <c r="L96" i="23"/>
  <c r="K96" i="23"/>
  <c r="K82" i="23"/>
  <c r="L82" i="23"/>
  <c r="K50" i="23"/>
  <c r="L50" i="23"/>
  <c r="L6" i="23"/>
  <c r="K6" i="23"/>
  <c r="K61" i="23"/>
  <c r="L61" i="23"/>
  <c r="L7" i="23"/>
  <c r="K7" i="23"/>
  <c r="L87" i="23"/>
  <c r="K87" i="23"/>
  <c r="K85" i="23"/>
  <c r="L85" i="23"/>
  <c r="K25" i="23"/>
  <c r="L25" i="23"/>
  <c r="L91" i="23"/>
  <c r="K91" i="23"/>
  <c r="K38" i="23"/>
  <c r="L38" i="23"/>
  <c r="K81" i="23"/>
  <c r="L81" i="23"/>
  <c r="L31" i="23"/>
  <c r="K31" i="23"/>
  <c r="K106" i="23"/>
  <c r="L106" i="23"/>
  <c r="L80" i="23"/>
  <c r="K80" i="23"/>
  <c r="L8" i="23"/>
  <c r="K8" i="23"/>
  <c r="K54" i="23"/>
  <c r="L54" i="23"/>
  <c r="K28" i="23"/>
  <c r="L28" i="23"/>
  <c r="K70" i="23"/>
  <c r="L70" i="23"/>
  <c r="L40" i="23"/>
  <c r="K40" i="23"/>
  <c r="L19" i="23"/>
  <c r="K19" i="23"/>
  <c r="K78" i="23"/>
  <c r="L78" i="23"/>
  <c r="K68" i="23"/>
  <c r="L68" i="23"/>
  <c r="L15" i="23"/>
  <c r="K15" i="23"/>
  <c r="L64" i="23"/>
  <c r="K64" i="23"/>
  <c r="L27" i="23"/>
  <c r="K27" i="23"/>
  <c r="K76" i="23"/>
  <c r="L76" i="23"/>
  <c r="L99" i="23"/>
  <c r="K99" i="23"/>
  <c r="K46" i="23"/>
  <c r="L46" i="23"/>
  <c r="K89" i="23"/>
  <c r="L89" i="23"/>
  <c r="K94" i="23"/>
  <c r="L94" i="23"/>
  <c r="K52" i="23"/>
  <c r="L52" i="23"/>
  <c r="L48" i="23"/>
  <c r="K48" i="23"/>
  <c r="L11" i="23"/>
  <c r="K11" i="23"/>
  <c r="K62" i="23"/>
  <c r="L62" i="23"/>
  <c r="L23" i="23"/>
  <c r="K23" i="23"/>
  <c r="K86" i="23"/>
  <c r="L86" i="23"/>
  <c r="K10" i="23"/>
  <c r="L10" i="23"/>
  <c r="K36" i="23"/>
  <c r="L36" i="23"/>
  <c r="K105" i="23"/>
  <c r="L105" i="23"/>
  <c r="L32" i="23"/>
  <c r="K32" i="23"/>
  <c r="K18" i="23"/>
  <c r="L18" i="23"/>
  <c r="K98" i="23"/>
  <c r="L98" i="23"/>
  <c r="K90" i="23"/>
  <c r="L90" i="23"/>
  <c r="K34" i="23"/>
  <c r="L34" i="23"/>
  <c r="C237" i="2"/>
  <c r="B237" i="2"/>
  <c r="B153" i="2"/>
  <c r="A196" i="2"/>
  <c r="F237" i="2"/>
  <c r="B238" i="2"/>
  <c r="H238" i="2"/>
  <c r="C43" i="16" s="1"/>
  <c r="F150" i="2"/>
  <c r="E38" i="1" s="1"/>
  <c r="A197" i="2" s="1"/>
  <c r="G150" i="2"/>
  <c r="G238" i="2"/>
  <c r="C238" i="2"/>
  <c r="A238" i="2" s="1"/>
  <c r="B152" i="2"/>
  <c r="AO2" i="19"/>
  <c r="H241" i="2"/>
  <c r="F241" i="2"/>
  <c r="K48" i="16"/>
  <c r="M48" i="16" s="1"/>
  <c r="B203" i="2"/>
  <c r="A203" i="2"/>
  <c r="E30" i="1"/>
  <c r="A2" i="21"/>
  <c r="K48" i="2"/>
  <c r="G89" i="19"/>
  <c r="G64" i="19"/>
  <c r="G65" i="19"/>
  <c r="G90" i="19"/>
  <c r="G91" i="19"/>
  <c r="AY106" i="19"/>
  <c r="G66" i="19"/>
  <c r="BN106" i="19"/>
  <c r="BC7" i="19" l="1"/>
  <c r="B38" i="2"/>
  <c r="D38" i="2" s="1"/>
  <c r="CE130" i="25"/>
  <c r="CE125" i="25"/>
  <c r="CE201" i="25"/>
  <c r="CE204" i="25"/>
  <c r="CE123" i="25"/>
  <c r="CE132" i="25"/>
  <c r="CE112" i="25"/>
  <c r="CE114" i="25"/>
  <c r="CE196" i="25"/>
  <c r="CE122" i="25"/>
  <c r="CE126" i="25"/>
  <c r="CE120" i="25"/>
  <c r="CE116" i="25"/>
  <c r="CE205" i="25"/>
  <c r="CE139" i="25"/>
  <c r="CE115" i="25"/>
  <c r="CE111" i="25"/>
  <c r="CE118" i="25"/>
  <c r="CE113" i="25"/>
  <c r="BY195" i="24"/>
  <c r="BY200" i="25"/>
  <c r="BY188" i="25"/>
  <c r="BY124" i="25"/>
  <c r="BY160" i="25"/>
  <c r="BY198" i="25"/>
  <c r="BY203" i="25"/>
  <c r="BY171" i="25"/>
  <c r="BY155" i="25"/>
  <c r="BY123" i="25"/>
  <c r="BY150" i="25"/>
  <c r="BY134" i="25"/>
  <c r="BY209" i="25"/>
  <c r="BY177" i="25"/>
  <c r="BY145" i="25"/>
  <c r="BY113" i="25"/>
  <c r="BY171" i="24"/>
  <c r="BY185" i="24"/>
  <c r="BY156" i="24"/>
  <c r="BY180" i="25"/>
  <c r="BY194" i="25"/>
  <c r="BY144" i="25"/>
  <c r="BY190" i="25"/>
  <c r="BY136" i="25"/>
  <c r="BY199" i="25"/>
  <c r="BY183" i="25"/>
  <c r="BY167" i="25"/>
  <c r="BY135" i="25"/>
  <c r="BY119" i="25"/>
  <c r="BY178" i="25"/>
  <c r="BY162" i="25"/>
  <c r="BY130" i="25"/>
  <c r="BY114" i="25"/>
  <c r="BY189" i="25"/>
  <c r="BY157" i="25"/>
  <c r="BY141" i="25"/>
  <c r="BY172" i="25"/>
  <c r="BY116" i="25"/>
  <c r="BY151" i="25"/>
  <c r="BY146" i="25"/>
  <c r="BY205" i="25"/>
  <c r="BY173" i="25"/>
  <c r="BY125" i="25"/>
  <c r="BY132" i="25"/>
  <c r="BY202" i="25"/>
  <c r="BY140" i="25"/>
  <c r="BY152" i="25"/>
  <c r="BY187" i="25"/>
  <c r="BY139" i="25"/>
  <c r="BY166" i="25"/>
  <c r="BY118" i="25"/>
  <c r="BY193" i="25"/>
  <c r="BY161" i="25"/>
  <c r="BY129" i="25"/>
  <c r="BY204" i="25"/>
  <c r="BY164" i="25"/>
  <c r="BY192" i="25"/>
  <c r="BY186" i="25"/>
  <c r="BY128" i="25"/>
  <c r="BY208" i="25"/>
  <c r="BY182" i="25"/>
  <c r="BY120" i="25"/>
  <c r="BY195" i="25"/>
  <c r="BY179" i="25"/>
  <c r="BY163" i="25"/>
  <c r="BY147" i="25"/>
  <c r="BY131" i="25"/>
  <c r="BY115" i="25"/>
  <c r="BY174" i="25"/>
  <c r="BY158" i="25"/>
  <c r="BY142" i="25"/>
  <c r="BY126" i="25"/>
  <c r="BY201" i="25"/>
  <c r="BY185" i="25"/>
  <c r="BY169" i="25"/>
  <c r="BY153" i="25"/>
  <c r="BY137" i="25"/>
  <c r="BY121" i="25"/>
  <c r="Q210" i="24"/>
  <c r="BY196" i="25"/>
  <c r="BY148" i="25"/>
  <c r="BY156" i="25"/>
  <c r="BY210" i="25"/>
  <c r="BY176" i="25"/>
  <c r="BY112" i="25"/>
  <c r="BY184" i="25"/>
  <c r="BY206" i="25"/>
  <c r="BY168" i="25"/>
  <c r="BY207" i="25"/>
  <c r="BY191" i="25"/>
  <c r="BY175" i="25"/>
  <c r="BY159" i="25"/>
  <c r="BY143" i="25"/>
  <c r="BY127" i="25"/>
  <c r="BY111" i="25"/>
  <c r="BY170" i="25"/>
  <c r="BY154" i="25"/>
  <c r="BY138" i="25"/>
  <c r="BY122" i="25"/>
  <c r="BY197" i="25"/>
  <c r="BY181" i="25"/>
  <c r="BY165" i="25"/>
  <c r="BY149" i="25"/>
  <c r="BY133" i="25"/>
  <c r="BY117" i="25"/>
  <c r="BY110" i="25"/>
  <c r="BY130" i="24"/>
  <c r="BY133" i="24"/>
  <c r="BY139" i="24"/>
  <c r="BY158" i="24"/>
  <c r="BY190" i="24"/>
  <c r="BY174" i="24"/>
  <c r="BY151" i="24"/>
  <c r="BY166" i="24"/>
  <c r="BY117" i="24"/>
  <c r="BY114" i="24"/>
  <c r="BY147" i="24"/>
  <c r="BY146" i="24"/>
  <c r="BY120" i="24"/>
  <c r="BY153" i="24"/>
  <c r="BY144" i="24"/>
  <c r="BY168" i="24"/>
  <c r="BY209" i="24"/>
  <c r="BY113" i="24"/>
  <c r="BY204" i="24"/>
  <c r="BY193" i="24"/>
  <c r="BY143" i="24"/>
  <c r="BY132" i="24"/>
  <c r="BY189" i="24"/>
  <c r="BY176" i="24"/>
  <c r="BY198" i="24"/>
  <c r="BY191" i="24"/>
  <c r="J253" i="24"/>
  <c r="X253" i="24" s="1"/>
  <c r="AA253" i="24" s="1"/>
  <c r="AB253" i="24" s="1"/>
  <c r="AC253" i="24" s="1"/>
  <c r="J190" i="24"/>
  <c r="AI190" i="24" s="1"/>
  <c r="O254" i="24"/>
  <c r="J305" i="24"/>
  <c r="X305" i="24" s="1"/>
  <c r="AA305" i="24" s="1"/>
  <c r="AB305" i="24" s="1"/>
  <c r="AC305" i="24" s="1"/>
  <c r="O223" i="24"/>
  <c r="J277" i="24"/>
  <c r="AE277" i="24" s="1"/>
  <c r="O243" i="24"/>
  <c r="O285" i="24"/>
  <c r="O251" i="24"/>
  <c r="O218" i="24"/>
  <c r="O279" i="24"/>
  <c r="J130" i="24"/>
  <c r="AI130" i="24" s="1"/>
  <c r="J282" i="24"/>
  <c r="AE282" i="24" s="1"/>
  <c r="J280" i="24"/>
  <c r="AE280" i="24" s="1"/>
  <c r="O307" i="24"/>
  <c r="J260" i="24"/>
  <c r="W260" i="24" s="1"/>
  <c r="Y260" i="24" s="1"/>
  <c r="O236" i="24"/>
  <c r="J171" i="24"/>
  <c r="AI171" i="24" s="1"/>
  <c r="J193" i="24"/>
  <c r="AI193" i="24" s="1"/>
  <c r="J147" i="24"/>
  <c r="AI147" i="24" s="1"/>
  <c r="J158" i="24"/>
  <c r="AI158" i="24" s="1"/>
  <c r="O219" i="24"/>
  <c r="O200" i="24"/>
  <c r="BY200" i="24" s="1"/>
  <c r="J265" i="24"/>
  <c r="AI265" i="24" s="1"/>
  <c r="J191" i="24"/>
  <c r="AI191" i="24" s="1"/>
  <c r="O173" i="24"/>
  <c r="BY173" i="24" s="1"/>
  <c r="O309" i="24"/>
  <c r="O287" i="24"/>
  <c r="J311" i="24"/>
  <c r="X311" i="24" s="1"/>
  <c r="AA311" i="24" s="1"/>
  <c r="AB311" i="24" s="1"/>
  <c r="AC311" i="24" s="1"/>
  <c r="J283" i="24"/>
  <c r="AE283" i="24" s="1"/>
  <c r="J248" i="24"/>
  <c r="AE248" i="24" s="1"/>
  <c r="O288" i="24"/>
  <c r="O247" i="24"/>
  <c r="J132" i="24"/>
  <c r="AI132" i="24" s="1"/>
  <c r="O302" i="24"/>
  <c r="J312" i="24"/>
  <c r="W312" i="24" s="1"/>
  <c r="J290" i="24"/>
  <c r="AI290" i="24" s="1"/>
  <c r="J226" i="24"/>
  <c r="AI226" i="24" s="1"/>
  <c r="O274" i="24"/>
  <c r="O221" i="24"/>
  <c r="O224" i="24"/>
  <c r="O245" i="24"/>
  <c r="O197" i="24"/>
  <c r="BY197" i="24" s="1"/>
  <c r="O202" i="24"/>
  <c r="BY202" i="24" s="1"/>
  <c r="J289" i="24"/>
  <c r="W289" i="24" s="1"/>
  <c r="Y289" i="24" s="1"/>
  <c r="O275" i="24"/>
  <c r="J244" i="24"/>
  <c r="W244" i="24" s="1"/>
  <c r="O227" i="24"/>
  <c r="J257" i="24"/>
  <c r="W257" i="24" s="1"/>
  <c r="Y257" i="24" s="1"/>
  <c r="O240" i="24"/>
  <c r="J299" i="24"/>
  <c r="AI299" i="24" s="1"/>
  <c r="J143" i="24"/>
  <c r="AI143" i="24" s="1"/>
  <c r="J185" i="24"/>
  <c r="AI185" i="24" s="1"/>
  <c r="O235" i="24"/>
  <c r="J176" i="24"/>
  <c r="AI176" i="24" s="1"/>
  <c r="J139" i="24"/>
  <c r="AI139" i="24" s="1"/>
  <c r="O310" i="24"/>
  <c r="O135" i="24"/>
  <c r="BY135" i="24" s="1"/>
  <c r="O180" i="24"/>
  <c r="BY180" i="24" s="1"/>
  <c r="O314" i="24"/>
  <c r="J278" i="24"/>
  <c r="X278" i="24" s="1"/>
  <c r="AA278" i="24" s="1"/>
  <c r="AB278" i="24" s="1"/>
  <c r="AC278" i="24" s="1"/>
  <c r="J262" i="24"/>
  <c r="AE262" i="24" s="1"/>
  <c r="J291" i="24"/>
  <c r="AI291" i="24" s="1"/>
  <c r="O138" i="24"/>
  <c r="BY138" i="24" s="1"/>
  <c r="J237" i="24"/>
  <c r="X237" i="24" s="1"/>
  <c r="AA237" i="24" s="1"/>
  <c r="AB237" i="24" s="1"/>
  <c r="AC237" i="24" s="1"/>
  <c r="O301" i="24"/>
  <c r="O304" i="24"/>
  <c r="J195" i="24"/>
  <c r="AE195" i="24" s="1"/>
  <c r="J198" i="24"/>
  <c r="AI198" i="24" s="1"/>
  <c r="J217" i="24"/>
  <c r="X217" i="24" s="1"/>
  <c r="AA217" i="24" s="1"/>
  <c r="AB217" i="24" s="1"/>
  <c r="AC217" i="24" s="1"/>
  <c r="O140" i="24"/>
  <c r="BY140" i="24" s="1"/>
  <c r="J261" i="24"/>
  <c r="AE261" i="24" s="1"/>
  <c r="O264" i="24"/>
  <c r="O164" i="24"/>
  <c r="BY164" i="24" s="1"/>
  <c r="O234" i="24"/>
  <c r="O220" i="24"/>
  <c r="O118" i="24"/>
  <c r="BY118" i="24" s="1"/>
  <c r="J281" i="24"/>
  <c r="X281" i="24" s="1"/>
  <c r="AA281" i="24" s="1"/>
  <c r="AB281" i="24" s="1"/>
  <c r="AC281" i="24" s="1"/>
  <c r="O315" i="24"/>
  <c r="O126" i="24"/>
  <c r="BY126" i="24" s="1"/>
  <c r="O222" i="24"/>
  <c r="O297" i="24"/>
  <c r="O124" i="24"/>
  <c r="BY124" i="24" s="1"/>
  <c r="O175" i="24"/>
  <c r="BY175" i="24" s="1"/>
  <c r="O266" i="24"/>
  <c r="O178" i="24"/>
  <c r="BY178" i="24" s="1"/>
  <c r="O256" i="24"/>
  <c r="J133" i="24"/>
  <c r="AI133" i="24" s="1"/>
  <c r="J117" i="24"/>
  <c r="AI117" i="24" s="1"/>
  <c r="O233" i="24"/>
  <c r="O294" i="24"/>
  <c r="J114" i="24"/>
  <c r="AI114" i="24" s="1"/>
  <c r="J151" i="24"/>
  <c r="AI151" i="24" s="1"/>
  <c r="O268" i="24"/>
  <c r="O230" i="24"/>
  <c r="O241" i="24"/>
  <c r="J166" i="24"/>
  <c r="AI166" i="24" s="1"/>
  <c r="O121" i="24"/>
  <c r="BY121" i="24" s="1"/>
  <c r="J276" i="24"/>
  <c r="AE276" i="24" s="1"/>
  <c r="J270" i="24"/>
  <c r="AE270" i="24" s="1"/>
  <c r="J204" i="24"/>
  <c r="AI204" i="24" s="1"/>
  <c r="J156" i="24"/>
  <c r="AI156" i="24" s="1"/>
  <c r="J144" i="24"/>
  <c r="AI144" i="24" s="1"/>
  <c r="J209" i="24"/>
  <c r="AI209" i="24" s="1"/>
  <c r="J120" i="24"/>
  <c r="AI120" i="24" s="1"/>
  <c r="J295" i="24"/>
  <c r="X295" i="24" s="1"/>
  <c r="AA295" i="24" s="1"/>
  <c r="AB295" i="24" s="1"/>
  <c r="AC295" i="24" s="1"/>
  <c r="J284" i="24"/>
  <c r="AI284" i="24" s="1"/>
  <c r="J168" i="24"/>
  <c r="AI168" i="24" s="1"/>
  <c r="J267" i="24"/>
  <c r="AI267" i="24" s="1"/>
  <c r="O160" i="24"/>
  <c r="BY160" i="24" s="1"/>
  <c r="J296" i="24"/>
  <c r="AI296" i="24" s="1"/>
  <c r="J146" i="24"/>
  <c r="AI146" i="24" s="1"/>
  <c r="O250" i="24"/>
  <c r="O129" i="24"/>
  <c r="BY129" i="24" s="1"/>
  <c r="J246" i="24"/>
  <c r="X246" i="24" s="1"/>
  <c r="AA246" i="24" s="1"/>
  <c r="AB246" i="24" s="1"/>
  <c r="AC246" i="24" s="1"/>
  <c r="O303" i="24"/>
  <c r="J252" i="24"/>
  <c r="AI252" i="24" s="1"/>
  <c r="O316" i="24"/>
  <c r="J225" i="24"/>
  <c r="W225" i="24" s="1"/>
  <c r="Y225" i="24" s="1"/>
  <c r="O286" i="24"/>
  <c r="J238" i="24"/>
  <c r="X238" i="24" s="1"/>
  <c r="AA238" i="24" s="1"/>
  <c r="AB238" i="24" s="1"/>
  <c r="AC238" i="24" s="1"/>
  <c r="J189" i="24"/>
  <c r="AI189" i="24" s="1"/>
  <c r="J313" i="24"/>
  <c r="X313" i="24" s="1"/>
  <c r="AA313" i="24" s="1"/>
  <c r="AB313" i="24" s="1"/>
  <c r="AC313" i="24" s="1"/>
  <c r="J232" i="24"/>
  <c r="AI232" i="24" s="1"/>
  <c r="J269" i="24"/>
  <c r="AI269" i="24" s="1"/>
  <c r="J255" i="24"/>
  <c r="AI255" i="24" s="1"/>
  <c r="J263" i="24"/>
  <c r="AI263" i="24" s="1"/>
  <c r="J298" i="24"/>
  <c r="AE298" i="24" s="1"/>
  <c r="J308" i="24"/>
  <c r="X308" i="24" s="1"/>
  <c r="AA308" i="24" s="1"/>
  <c r="AB308" i="24" s="1"/>
  <c r="AC308" i="24" s="1"/>
  <c r="J242" i="24"/>
  <c r="AI242" i="24" s="1"/>
  <c r="O259" i="24"/>
  <c r="O258" i="24"/>
  <c r="O228" i="24"/>
  <c r="O292" i="24"/>
  <c r="O239" i="24"/>
  <c r="O271" i="24"/>
  <c r="O127" i="24"/>
  <c r="BY127" i="24" s="1"/>
  <c r="O300" i="24"/>
  <c r="O273" i="24"/>
  <c r="O111" i="24"/>
  <c r="BY111" i="24" s="1"/>
  <c r="O272" i="24"/>
  <c r="O229" i="24"/>
  <c r="O293" i="24"/>
  <c r="J231" i="24"/>
  <c r="AI231" i="24" s="1"/>
  <c r="J306" i="24"/>
  <c r="AE306" i="24" s="1"/>
  <c r="J174" i="24"/>
  <c r="AI174" i="24" s="1"/>
  <c r="J249" i="24"/>
  <c r="X249" i="24" s="1"/>
  <c r="AA249" i="24" s="1"/>
  <c r="AB249" i="24" s="1"/>
  <c r="AC249" i="24" s="1"/>
  <c r="J153" i="24"/>
  <c r="AE153" i="24" s="1"/>
  <c r="J113" i="24"/>
  <c r="AI113" i="24" s="1"/>
  <c r="BY86" i="24"/>
  <c r="BY46" i="24"/>
  <c r="BY73" i="24"/>
  <c r="BY41" i="24"/>
  <c r="BY42" i="24"/>
  <c r="BY56" i="24"/>
  <c r="BY21" i="24"/>
  <c r="BY50" i="24"/>
  <c r="BY53" i="24"/>
  <c r="BY89" i="24"/>
  <c r="BY64" i="24"/>
  <c r="BY29" i="24"/>
  <c r="BY60" i="24"/>
  <c r="BY70" i="24"/>
  <c r="BY54" i="24"/>
  <c r="BY69" i="24"/>
  <c r="BY101" i="24"/>
  <c r="BY68" i="24"/>
  <c r="BY33" i="24"/>
  <c r="BY25" i="24"/>
  <c r="BY72" i="24"/>
  <c r="BY18" i="24"/>
  <c r="BY82" i="24"/>
  <c r="BY32" i="24"/>
  <c r="BY96" i="24"/>
  <c r="BY97" i="24"/>
  <c r="BY78" i="24"/>
  <c r="BY85" i="24"/>
  <c r="BY92" i="24"/>
  <c r="BY36" i="24"/>
  <c r="BY100" i="24"/>
  <c r="BY105" i="24"/>
  <c r="BY40" i="24"/>
  <c r="BY28" i="24"/>
  <c r="BY104" i="24"/>
  <c r="BY63" i="24"/>
  <c r="BY19" i="24"/>
  <c r="BY79" i="24"/>
  <c r="J196" i="24"/>
  <c r="AI196" i="24" s="1"/>
  <c r="O196" i="24"/>
  <c r="BY196" i="24" s="1"/>
  <c r="J145" i="24"/>
  <c r="X145" i="24" s="1"/>
  <c r="AA145" i="24" s="1"/>
  <c r="AB145" i="24" s="1"/>
  <c r="AC145" i="24" s="1"/>
  <c r="O145" i="24"/>
  <c r="BY145" i="24" s="1"/>
  <c r="J150" i="24"/>
  <c r="X150" i="24" s="1"/>
  <c r="AA150" i="24" s="1"/>
  <c r="AB150" i="24" s="1"/>
  <c r="AC150" i="24" s="1"/>
  <c r="O150" i="24"/>
  <c r="BY150" i="24" s="1"/>
  <c r="J136" i="24"/>
  <c r="AE136" i="24" s="1"/>
  <c r="O136" i="24"/>
  <c r="BY136" i="24" s="1"/>
  <c r="J181" i="24"/>
  <c r="AE181" i="24" s="1"/>
  <c r="O181" i="24"/>
  <c r="BY181" i="24" s="1"/>
  <c r="J149" i="24"/>
  <c r="AI149" i="24" s="1"/>
  <c r="O149" i="24"/>
  <c r="BY149" i="24" s="1"/>
  <c r="J186" i="24"/>
  <c r="AI186" i="24" s="1"/>
  <c r="O186" i="24"/>
  <c r="BY186" i="24" s="1"/>
  <c r="J122" i="24"/>
  <c r="W122" i="24" s="1"/>
  <c r="Y122" i="24" s="1"/>
  <c r="O122" i="24"/>
  <c r="BY122" i="24" s="1"/>
  <c r="J128" i="24"/>
  <c r="X128" i="24" s="1"/>
  <c r="AA128" i="24" s="1"/>
  <c r="AB128" i="24" s="1"/>
  <c r="AC128" i="24" s="1"/>
  <c r="O128" i="24"/>
  <c r="BY128" i="24" s="1"/>
  <c r="J163" i="24"/>
  <c r="AI163" i="24" s="1"/>
  <c r="O163" i="24"/>
  <c r="BY163" i="24" s="1"/>
  <c r="J208" i="24"/>
  <c r="AE208" i="24" s="1"/>
  <c r="O208" i="24"/>
  <c r="BY208" i="24" s="1"/>
  <c r="J141" i="24"/>
  <c r="X141" i="24" s="1"/>
  <c r="AA141" i="24" s="1"/>
  <c r="AB141" i="24" s="1"/>
  <c r="AC141" i="24" s="1"/>
  <c r="O141" i="24"/>
  <c r="BY141" i="24" s="1"/>
  <c r="J179" i="24"/>
  <c r="X179" i="24" s="1"/>
  <c r="AA179" i="24" s="1"/>
  <c r="AB179" i="24" s="1"/>
  <c r="AC179" i="24" s="1"/>
  <c r="O179" i="24"/>
  <c r="BY179" i="24" s="1"/>
  <c r="BY23" i="24"/>
  <c r="BY91" i="24"/>
  <c r="J201" i="24"/>
  <c r="W201" i="24" s="1"/>
  <c r="O201" i="24"/>
  <c r="BY201" i="24" s="1"/>
  <c r="J155" i="24"/>
  <c r="AE155" i="24" s="1"/>
  <c r="O155" i="24"/>
  <c r="BY155" i="24" s="1"/>
  <c r="J131" i="24"/>
  <c r="AI131" i="24" s="1"/>
  <c r="O131" i="24"/>
  <c r="BY131" i="24" s="1"/>
  <c r="J184" i="24"/>
  <c r="X184" i="24" s="1"/>
  <c r="AA184" i="24" s="1"/>
  <c r="AB184" i="24" s="1"/>
  <c r="AC184" i="24" s="1"/>
  <c r="O184" i="24"/>
  <c r="BY184" i="24" s="1"/>
  <c r="J112" i="24"/>
  <c r="W112" i="24" s="1"/>
  <c r="O112" i="24"/>
  <c r="BY112" i="24" s="1"/>
  <c r="J154" i="24"/>
  <c r="X154" i="24" s="1"/>
  <c r="AA154" i="24" s="1"/>
  <c r="AB154" i="24" s="1"/>
  <c r="AC154" i="24" s="1"/>
  <c r="O154" i="24"/>
  <c r="BY154" i="24" s="1"/>
  <c r="J172" i="24"/>
  <c r="W172" i="24" s="1"/>
  <c r="O172" i="24"/>
  <c r="BY172" i="24" s="1"/>
  <c r="J115" i="24"/>
  <c r="AE115" i="24" s="1"/>
  <c r="O115" i="24"/>
  <c r="BY115" i="24" s="1"/>
  <c r="J183" i="24"/>
  <c r="X183" i="24" s="1"/>
  <c r="AA183" i="24" s="1"/>
  <c r="AB183" i="24" s="1"/>
  <c r="AC183" i="24" s="1"/>
  <c r="O183" i="24"/>
  <c r="BY183" i="24" s="1"/>
  <c r="J187" i="24"/>
  <c r="AE187" i="24" s="1"/>
  <c r="O187" i="24"/>
  <c r="BY187" i="24" s="1"/>
  <c r="J119" i="24"/>
  <c r="AI119" i="24" s="1"/>
  <c r="O119" i="24"/>
  <c r="BY119" i="24" s="1"/>
  <c r="J116" i="24"/>
  <c r="AE116" i="24" s="1"/>
  <c r="O116" i="24"/>
  <c r="BY116" i="24" s="1"/>
  <c r="BY87" i="24"/>
  <c r="BY31" i="24"/>
  <c r="BY27" i="24"/>
  <c r="BY83" i="24"/>
  <c r="BY14" i="24"/>
  <c r="BY10" i="24"/>
  <c r="BY74" i="24"/>
  <c r="J148" i="24"/>
  <c r="W148" i="24" s="1"/>
  <c r="Y148" i="24" s="1"/>
  <c r="O148" i="24"/>
  <c r="BY148" i="24" s="1"/>
  <c r="J177" i="24"/>
  <c r="AI177" i="24" s="1"/>
  <c r="O177" i="24"/>
  <c r="BY177" i="24" s="1"/>
  <c r="J210" i="24"/>
  <c r="W210" i="24" s="1"/>
  <c r="Y210" i="24" s="1"/>
  <c r="O210" i="24"/>
  <c r="BY210" i="24" s="1"/>
  <c r="J123" i="24"/>
  <c r="W123" i="24" s="1"/>
  <c r="O123" i="24"/>
  <c r="BY123" i="24" s="1"/>
  <c r="J134" i="24"/>
  <c r="AI134" i="24" s="1"/>
  <c r="O134" i="24"/>
  <c r="BY134" i="24" s="1"/>
  <c r="J182" i="24"/>
  <c r="X182" i="24" s="1"/>
  <c r="AA182" i="24" s="1"/>
  <c r="AB182" i="24" s="1"/>
  <c r="AC182" i="24" s="1"/>
  <c r="O182" i="24"/>
  <c r="BY182" i="24" s="1"/>
  <c r="J199" i="24"/>
  <c r="AI199" i="24" s="1"/>
  <c r="O199" i="24"/>
  <c r="BY199" i="24" s="1"/>
  <c r="J152" i="24"/>
  <c r="AI152" i="24" s="1"/>
  <c r="O152" i="24"/>
  <c r="BY152" i="24" s="1"/>
  <c r="J157" i="24"/>
  <c r="AE157" i="24" s="1"/>
  <c r="O157" i="24"/>
  <c r="BY157" i="24" s="1"/>
  <c r="J205" i="24"/>
  <c r="X205" i="24" s="1"/>
  <c r="AA205" i="24" s="1"/>
  <c r="AB205" i="24" s="1"/>
  <c r="AC205" i="24" s="1"/>
  <c r="O205" i="24"/>
  <c r="BY205" i="24" s="1"/>
  <c r="J159" i="24"/>
  <c r="AI159" i="24" s="1"/>
  <c r="O159" i="24"/>
  <c r="BY159" i="24" s="1"/>
  <c r="J167" i="24"/>
  <c r="AI167" i="24" s="1"/>
  <c r="O167" i="24"/>
  <c r="BY167" i="24" s="1"/>
  <c r="J170" i="24"/>
  <c r="X170" i="24" s="1"/>
  <c r="AA170" i="24" s="1"/>
  <c r="AB170" i="24" s="1"/>
  <c r="AC170" i="24" s="1"/>
  <c r="O170" i="24"/>
  <c r="BY170" i="24" s="1"/>
  <c r="J207" i="24"/>
  <c r="AE207" i="24" s="1"/>
  <c r="O207" i="24"/>
  <c r="BY207" i="24" s="1"/>
  <c r="J188" i="24"/>
  <c r="AI188" i="24" s="1"/>
  <c r="O188" i="24"/>
  <c r="BY188" i="24" s="1"/>
  <c r="J161" i="24"/>
  <c r="AI161" i="24" s="1"/>
  <c r="O161" i="24"/>
  <c r="BY161" i="24" s="1"/>
  <c r="J194" i="24"/>
  <c r="AI194" i="24" s="1"/>
  <c r="O194" i="24"/>
  <c r="BY194" i="24" s="1"/>
  <c r="J137" i="24"/>
  <c r="X137" i="24" s="1"/>
  <c r="AA137" i="24" s="1"/>
  <c r="AB137" i="24" s="1"/>
  <c r="AC137" i="24" s="1"/>
  <c r="O137" i="24"/>
  <c r="BY137" i="24" s="1"/>
  <c r="J142" i="24"/>
  <c r="X142" i="24" s="1"/>
  <c r="AA142" i="24" s="1"/>
  <c r="AB142" i="24" s="1"/>
  <c r="AC142" i="24" s="1"/>
  <c r="O142" i="24"/>
  <c r="BY142" i="24" s="1"/>
  <c r="J125" i="24"/>
  <c r="AI125" i="24" s="1"/>
  <c r="O125" i="24"/>
  <c r="BY125" i="24" s="1"/>
  <c r="J192" i="24"/>
  <c r="AI192" i="24" s="1"/>
  <c r="O192" i="24"/>
  <c r="BY192" i="24" s="1"/>
  <c r="J169" i="24"/>
  <c r="AE169" i="24" s="1"/>
  <c r="O169" i="24"/>
  <c r="BY169" i="24" s="1"/>
  <c r="J206" i="24"/>
  <c r="AI206" i="24" s="1"/>
  <c r="O206" i="24"/>
  <c r="BY206" i="24" s="1"/>
  <c r="J165" i="24"/>
  <c r="X165" i="24" s="1"/>
  <c r="AA165" i="24" s="1"/>
  <c r="AB165" i="24" s="1"/>
  <c r="AC165" i="24" s="1"/>
  <c r="O165" i="24"/>
  <c r="BY165" i="24" s="1"/>
  <c r="J162" i="24"/>
  <c r="AI162" i="24" s="1"/>
  <c r="O162" i="24"/>
  <c r="BY162" i="24" s="1"/>
  <c r="J203" i="24"/>
  <c r="AE203" i="24" s="1"/>
  <c r="O203" i="24"/>
  <c r="BY203" i="24" s="1"/>
  <c r="BY55" i="24"/>
  <c r="BY95" i="24"/>
  <c r="BY59" i="24"/>
  <c r="BY51" i="24"/>
  <c r="J46" i="24"/>
  <c r="AE46" i="24" s="1"/>
  <c r="J64" i="24"/>
  <c r="AE64" i="24" s="1"/>
  <c r="AF64" i="24" s="1"/>
  <c r="J95" i="24"/>
  <c r="AI95" i="24" s="1"/>
  <c r="J59" i="24"/>
  <c r="AE59" i="24" s="1"/>
  <c r="J54" i="24"/>
  <c r="AE54" i="24" s="1"/>
  <c r="J73" i="24"/>
  <c r="X73" i="24" s="1"/>
  <c r="AA73" i="24" s="1"/>
  <c r="AB73" i="24" s="1"/>
  <c r="AC73" i="24" s="1"/>
  <c r="J56" i="24"/>
  <c r="X56" i="24" s="1"/>
  <c r="AA56" i="24" s="1"/>
  <c r="AB56" i="24" s="1"/>
  <c r="AC56" i="24" s="1"/>
  <c r="J14" i="24"/>
  <c r="X14" i="24" s="1"/>
  <c r="AA14" i="24" s="1"/>
  <c r="AB14" i="24" s="1"/>
  <c r="AC14" i="24" s="1"/>
  <c r="J78" i="24"/>
  <c r="X78" i="24" s="1"/>
  <c r="AA78" i="24" s="1"/>
  <c r="AB78" i="24" s="1"/>
  <c r="AC78" i="24" s="1"/>
  <c r="J23" i="24"/>
  <c r="AI23" i="24" s="1"/>
  <c r="J87" i="24"/>
  <c r="AE87" i="24" s="1"/>
  <c r="J32" i="24"/>
  <c r="AI32" i="24" s="1"/>
  <c r="J96" i="24"/>
  <c r="W96" i="24" s="1"/>
  <c r="J97" i="24"/>
  <c r="W97" i="24" s="1"/>
  <c r="Y97" i="24" s="1"/>
  <c r="J31" i="24"/>
  <c r="AE31" i="24" s="1"/>
  <c r="J40" i="24"/>
  <c r="AE40" i="24" s="1"/>
  <c r="J18" i="24"/>
  <c r="AE18" i="24" s="1"/>
  <c r="J82" i="24"/>
  <c r="AE82" i="24" s="1"/>
  <c r="J27" i="24"/>
  <c r="AI27" i="24" s="1"/>
  <c r="J91" i="24"/>
  <c r="X91" i="24" s="1"/>
  <c r="AA91" i="24" s="1"/>
  <c r="AB91" i="24" s="1"/>
  <c r="AC91" i="24" s="1"/>
  <c r="J36" i="24"/>
  <c r="AI36" i="24" s="1"/>
  <c r="J100" i="24"/>
  <c r="AI100" i="24" s="1"/>
  <c r="J105" i="24"/>
  <c r="AI105" i="24" s="1"/>
  <c r="J63" i="24"/>
  <c r="AE63" i="24" s="1"/>
  <c r="J10" i="24"/>
  <c r="AI10" i="24" s="1"/>
  <c r="J74" i="24"/>
  <c r="X74" i="24" s="1"/>
  <c r="AA74" i="24" s="1"/>
  <c r="AB74" i="24" s="1"/>
  <c r="AC74" i="24" s="1"/>
  <c r="J19" i="24"/>
  <c r="AE19" i="24" s="1"/>
  <c r="J83" i="24"/>
  <c r="X83" i="24" s="1"/>
  <c r="AA83" i="24" s="1"/>
  <c r="AB83" i="24" s="1"/>
  <c r="AC83" i="24" s="1"/>
  <c r="J28" i="24"/>
  <c r="AE28" i="24" s="1"/>
  <c r="J92" i="24"/>
  <c r="AE92" i="24" s="1"/>
  <c r="J85" i="24"/>
  <c r="X85" i="24" s="1"/>
  <c r="AA85" i="24" s="1"/>
  <c r="AB85" i="24" s="1"/>
  <c r="AC85" i="24" s="1"/>
  <c r="J79" i="24"/>
  <c r="AE79" i="24" s="1"/>
  <c r="J53" i="24"/>
  <c r="X53" i="24" s="1"/>
  <c r="AA53" i="24" s="1"/>
  <c r="AB53" i="24" s="1"/>
  <c r="AC53" i="24" s="1"/>
  <c r="J89" i="24"/>
  <c r="AE89" i="24" s="1"/>
  <c r="J70" i="24"/>
  <c r="AI70" i="24" s="1"/>
  <c r="J21" i="24"/>
  <c r="W21" i="24" s="1"/>
  <c r="J69" i="24"/>
  <c r="AI69" i="24" s="1"/>
  <c r="J101" i="24"/>
  <c r="X101" i="24" s="1"/>
  <c r="AA101" i="24" s="1"/>
  <c r="AB101" i="24" s="1"/>
  <c r="AC101" i="24" s="1"/>
  <c r="J33" i="24"/>
  <c r="W33" i="24" s="1"/>
  <c r="J42" i="24"/>
  <c r="AI42" i="24" s="1"/>
  <c r="J41" i="24"/>
  <c r="AE41" i="24" s="1"/>
  <c r="J60" i="24"/>
  <c r="AI60" i="24" s="1"/>
  <c r="J86" i="24"/>
  <c r="X86" i="24" s="1"/>
  <c r="AA86" i="24" s="1"/>
  <c r="AB86" i="24" s="1"/>
  <c r="AC86" i="24" s="1"/>
  <c r="J55" i="24"/>
  <c r="W55" i="24" s="1"/>
  <c r="Y55" i="24" s="1"/>
  <c r="J29" i="24"/>
  <c r="AE29" i="24" s="1"/>
  <c r="J50" i="24"/>
  <c r="AI50" i="24" s="1"/>
  <c r="J68" i="24"/>
  <c r="AE68" i="24" s="1"/>
  <c r="J72" i="24"/>
  <c r="AE72" i="24" s="1"/>
  <c r="J51" i="24"/>
  <c r="AE51" i="24" s="1"/>
  <c r="J25" i="24"/>
  <c r="AI25" i="24" s="1"/>
  <c r="J104" i="24"/>
  <c r="AI104" i="24" s="1"/>
  <c r="P110" i="24"/>
  <c r="F212" i="24" s="1"/>
  <c r="Q110" i="24"/>
  <c r="Q27" i="24"/>
  <c r="R27" i="24" s="1"/>
  <c r="Q70" i="24"/>
  <c r="R70" i="24" s="1"/>
  <c r="Q79" i="24"/>
  <c r="R79" i="24" s="1"/>
  <c r="Q53" i="24"/>
  <c r="R53" i="24" s="1"/>
  <c r="Q23" i="24"/>
  <c r="R23" i="24" s="1"/>
  <c r="Q32" i="24"/>
  <c r="R32" i="24" s="1"/>
  <c r="Q97" i="24"/>
  <c r="Q59" i="24"/>
  <c r="Q86" i="24"/>
  <c r="Q95" i="24"/>
  <c r="R95" i="24" s="1"/>
  <c r="Q104" i="24"/>
  <c r="R104" i="24" s="1"/>
  <c r="Q33" i="24"/>
  <c r="Q41" i="24"/>
  <c r="R41" i="24" s="1"/>
  <c r="Q51" i="24"/>
  <c r="Q73" i="24"/>
  <c r="R73" i="24" s="1"/>
  <c r="Q25" i="24"/>
  <c r="R25" i="24" s="1"/>
  <c r="Q78" i="24"/>
  <c r="R78" i="24" s="1"/>
  <c r="Q101" i="24"/>
  <c r="R101" i="24" s="1"/>
  <c r="Q21" i="24"/>
  <c r="R21" i="24" s="1"/>
  <c r="Q100" i="24"/>
  <c r="R100" i="24" s="1"/>
  <c r="Q55" i="24"/>
  <c r="Q64" i="24"/>
  <c r="R64" i="24" s="1"/>
  <c r="Q68" i="24"/>
  <c r="R68" i="24" s="1"/>
  <c r="Q54" i="24"/>
  <c r="Q63" i="24"/>
  <c r="R63" i="24" s="1"/>
  <c r="Q69" i="24"/>
  <c r="R69" i="24" s="1"/>
  <c r="Q10" i="24"/>
  <c r="R10" i="24" s="1"/>
  <c r="Q19" i="24"/>
  <c r="Q28" i="24"/>
  <c r="R28" i="24" s="1"/>
  <c r="Q85" i="24"/>
  <c r="R85" i="24" s="1"/>
  <c r="Q105" i="24"/>
  <c r="P41" i="24"/>
  <c r="P27" i="24"/>
  <c r="T30" i="24"/>
  <c r="O30" i="24" s="1"/>
  <c r="BY30" i="24" s="1"/>
  <c r="P78" i="24"/>
  <c r="T39" i="24"/>
  <c r="O39" i="24" s="1"/>
  <c r="BY39" i="24" s="1"/>
  <c r="T48" i="24"/>
  <c r="O48" i="24" s="1"/>
  <c r="BY48" i="24" s="1"/>
  <c r="T38" i="24"/>
  <c r="O38" i="24" s="1"/>
  <c r="BY38" i="24" s="1"/>
  <c r="T88" i="24"/>
  <c r="O88" i="24" s="1"/>
  <c r="BY88" i="24" s="1"/>
  <c r="T98" i="24"/>
  <c r="O98" i="24" s="1"/>
  <c r="BY98" i="24" s="1"/>
  <c r="T37" i="24"/>
  <c r="O37" i="24" s="1"/>
  <c r="BY37" i="24" s="1"/>
  <c r="T17" i="24"/>
  <c r="O17" i="24" s="1"/>
  <c r="BY17" i="24" s="1"/>
  <c r="T61" i="24"/>
  <c r="O61" i="24" s="1"/>
  <c r="BY61" i="24" s="1"/>
  <c r="T90" i="24"/>
  <c r="O90" i="24" s="1"/>
  <c r="BY90" i="24" s="1"/>
  <c r="T99" i="24"/>
  <c r="O99" i="24" s="1"/>
  <c r="BY99" i="24" s="1"/>
  <c r="T9" i="24"/>
  <c r="O9" i="24" s="1"/>
  <c r="BY9" i="24" s="1"/>
  <c r="T8" i="24"/>
  <c r="O8" i="24" s="1"/>
  <c r="BY8" i="24" s="1"/>
  <c r="T7" i="24"/>
  <c r="O7" i="24" s="1"/>
  <c r="BY7" i="24" s="1"/>
  <c r="T16" i="24"/>
  <c r="O16" i="24" s="1"/>
  <c r="BY16" i="24" s="1"/>
  <c r="T57" i="24"/>
  <c r="O57" i="24" s="1"/>
  <c r="BY57" i="24" s="1"/>
  <c r="T24" i="24"/>
  <c r="O24" i="24" s="1"/>
  <c r="BY24" i="24" s="1"/>
  <c r="T66" i="24"/>
  <c r="O66" i="24" s="1"/>
  <c r="BY66" i="24" s="1"/>
  <c r="T75" i="24"/>
  <c r="O75" i="24" s="1"/>
  <c r="BY75" i="24" s="1"/>
  <c r="T84" i="24"/>
  <c r="O84" i="24" s="1"/>
  <c r="BY84" i="24" s="1"/>
  <c r="T81" i="24"/>
  <c r="O81" i="24" s="1"/>
  <c r="BY81" i="24" s="1"/>
  <c r="T58" i="24"/>
  <c r="O58" i="24" s="1"/>
  <c r="BY58" i="24" s="1"/>
  <c r="T67" i="24"/>
  <c r="O67" i="24" s="1"/>
  <c r="BY67" i="24" s="1"/>
  <c r="T76" i="24"/>
  <c r="O76" i="24" s="1"/>
  <c r="BY76" i="24" s="1"/>
  <c r="T15" i="24"/>
  <c r="O15" i="24" s="1"/>
  <c r="BY15" i="24" s="1"/>
  <c r="T94" i="24"/>
  <c r="O94" i="24" s="1"/>
  <c r="BY94" i="24" s="1"/>
  <c r="T103" i="24"/>
  <c r="O103" i="24" s="1"/>
  <c r="BY103" i="24" s="1"/>
  <c r="T13" i="24"/>
  <c r="O13" i="24" s="1"/>
  <c r="BY13" i="24" s="1"/>
  <c r="T47" i="24"/>
  <c r="O47" i="24" s="1"/>
  <c r="BY47" i="24" s="1"/>
  <c r="T34" i="24"/>
  <c r="O34" i="24" s="1"/>
  <c r="BY34" i="24" s="1"/>
  <c r="T43" i="24"/>
  <c r="O43" i="24" s="1"/>
  <c r="BY43" i="24" s="1"/>
  <c r="T52" i="24"/>
  <c r="O52" i="24" s="1"/>
  <c r="BY52" i="24" s="1"/>
  <c r="T6" i="24"/>
  <c r="O6" i="24" s="1"/>
  <c r="BY6" i="24" s="1"/>
  <c r="T26" i="24"/>
  <c r="O26" i="24" s="1"/>
  <c r="BY26" i="24" s="1"/>
  <c r="T35" i="24"/>
  <c r="O35" i="24" s="1"/>
  <c r="BY35" i="24" s="1"/>
  <c r="T44" i="24"/>
  <c r="O44" i="24" s="1"/>
  <c r="BY44" i="24" s="1"/>
  <c r="T22" i="24"/>
  <c r="O22" i="24" s="1"/>
  <c r="BY22" i="24" s="1"/>
  <c r="P79" i="24"/>
  <c r="P28" i="24"/>
  <c r="T62" i="24"/>
  <c r="O62" i="24" s="1"/>
  <c r="BY62" i="24" s="1"/>
  <c r="AP53" i="24"/>
  <c r="T71" i="24"/>
  <c r="O71" i="24" s="1"/>
  <c r="BY71" i="24" s="1"/>
  <c r="T80" i="24"/>
  <c r="O80" i="24" s="1"/>
  <c r="BY80" i="24" s="1"/>
  <c r="T102" i="24"/>
  <c r="O102" i="24" s="1"/>
  <c r="BY102" i="24" s="1"/>
  <c r="T77" i="24"/>
  <c r="O77" i="24" s="1"/>
  <c r="BY77" i="24" s="1"/>
  <c r="T11" i="24"/>
  <c r="O11" i="24" s="1"/>
  <c r="BY11" i="24" s="1"/>
  <c r="T20" i="24"/>
  <c r="O20" i="24" s="1"/>
  <c r="BY20" i="24" s="1"/>
  <c r="T65" i="24"/>
  <c r="O65" i="24" s="1"/>
  <c r="BY65" i="24" s="1"/>
  <c r="T45" i="24"/>
  <c r="O45" i="24" s="1"/>
  <c r="BY45" i="24" s="1"/>
  <c r="T93" i="24"/>
  <c r="O93" i="24" s="1"/>
  <c r="BY93" i="24" s="1"/>
  <c r="T12" i="24"/>
  <c r="O12" i="24" s="1"/>
  <c r="BY12" i="24" s="1"/>
  <c r="T49" i="24"/>
  <c r="O49" i="24" s="1"/>
  <c r="BY49" i="24" s="1"/>
  <c r="P53" i="24"/>
  <c r="P64" i="24"/>
  <c r="P68" i="24"/>
  <c r="P63" i="24"/>
  <c r="P10" i="24"/>
  <c r="AI5" i="24"/>
  <c r="R5" i="24"/>
  <c r="X110" i="24"/>
  <c r="AA110" i="24" s="1"/>
  <c r="AB110" i="24" s="1"/>
  <c r="AC110" i="24" s="1"/>
  <c r="AP110" i="24"/>
  <c r="AE5" i="24"/>
  <c r="AF5" i="24" s="1"/>
  <c r="R110" i="25"/>
  <c r="AO216" i="25"/>
  <c r="AP216" i="24"/>
  <c r="Q216" i="25"/>
  <c r="CD216" i="25" s="1"/>
  <c r="R216" i="25"/>
  <c r="K77" i="23"/>
  <c r="M77" i="23" s="1"/>
  <c r="CD113" i="25"/>
  <c r="X5" i="24"/>
  <c r="AA5" i="24" s="1"/>
  <c r="AB5" i="24" s="1"/>
  <c r="AC5" i="24" s="1"/>
  <c r="CD120" i="25"/>
  <c r="CD112" i="25"/>
  <c r="CD122" i="25"/>
  <c r="AO110" i="25"/>
  <c r="CD118" i="25"/>
  <c r="CD114" i="25"/>
  <c r="S110" i="25"/>
  <c r="K110" i="25" s="1"/>
  <c r="AD110" i="25" s="1"/>
  <c r="AE110" i="25" s="1"/>
  <c r="P216" i="24"/>
  <c r="CD216" i="24" s="1"/>
  <c r="B201" i="2"/>
  <c r="BY103" i="25"/>
  <c r="BY91" i="25"/>
  <c r="BY102" i="25"/>
  <c r="BY49" i="25"/>
  <c r="BY90" i="25"/>
  <c r="BY105" i="25"/>
  <c r="BY101" i="25"/>
  <c r="BY97" i="25"/>
  <c r="BY93" i="25"/>
  <c r="BY5" i="25"/>
  <c r="R5" i="25"/>
  <c r="BY104" i="25"/>
  <c r="BY96" i="25"/>
  <c r="BY63" i="25"/>
  <c r="BY47" i="25"/>
  <c r="BY27" i="25"/>
  <c r="BY77" i="25"/>
  <c r="BY57" i="25"/>
  <c r="BY25" i="25"/>
  <c r="BY6" i="25"/>
  <c r="BY69" i="25"/>
  <c r="BY21" i="25"/>
  <c r="BY35" i="25"/>
  <c r="BY22" i="25"/>
  <c r="BY60" i="25"/>
  <c r="BY24" i="25"/>
  <c r="BY38" i="25"/>
  <c r="BY18" i="25"/>
  <c r="BY71" i="25"/>
  <c r="BY39" i="25"/>
  <c r="BY65" i="25"/>
  <c r="BY33" i="25"/>
  <c r="BY43" i="25"/>
  <c r="BY73" i="25"/>
  <c r="BY17" i="25"/>
  <c r="BY74" i="25"/>
  <c r="BY34" i="25"/>
  <c r="S5" i="25"/>
  <c r="K5" i="25" s="1"/>
  <c r="AD5" i="25" s="1"/>
  <c r="AE5" i="25" s="1"/>
  <c r="BY95" i="25"/>
  <c r="BY94" i="25"/>
  <c r="BY59" i="25"/>
  <c r="BY9" i="25"/>
  <c r="BY54" i="25"/>
  <c r="BY100" i="25"/>
  <c r="BY92" i="25"/>
  <c r="BY83" i="25"/>
  <c r="BY67" i="25"/>
  <c r="BY51" i="25"/>
  <c r="BY31" i="25"/>
  <c r="BY15" i="25"/>
  <c r="BY85" i="25"/>
  <c r="BY61" i="25"/>
  <c r="BY29" i="25"/>
  <c r="BY82" i="25"/>
  <c r="BY81" i="25"/>
  <c r="BY41" i="25"/>
  <c r="BY36" i="25"/>
  <c r="BY26" i="25"/>
  <c r="BY79" i="25"/>
  <c r="BY10" i="25"/>
  <c r="BY78" i="25"/>
  <c r="BY62" i="25"/>
  <c r="BY80" i="25"/>
  <c r="BY64" i="25"/>
  <c r="BY48" i="25"/>
  <c r="BY28" i="25"/>
  <c r="BY12" i="25"/>
  <c r="BY42" i="25"/>
  <c r="BY87" i="25"/>
  <c r="BY55" i="25"/>
  <c r="BY19" i="25"/>
  <c r="BY13" i="25"/>
  <c r="BY89" i="25"/>
  <c r="BY45" i="25"/>
  <c r="BY37" i="25"/>
  <c r="BY75" i="25"/>
  <c r="BY23" i="25"/>
  <c r="BY76" i="25"/>
  <c r="BY44" i="25"/>
  <c r="BY58" i="25"/>
  <c r="Q5" i="25"/>
  <c r="BY99" i="25"/>
  <c r="BY53" i="25"/>
  <c r="BY11" i="25"/>
  <c r="BY7" i="25"/>
  <c r="BY66" i="25"/>
  <c r="BY84" i="25"/>
  <c r="BY68" i="25"/>
  <c r="BY52" i="25"/>
  <c r="BY32" i="25"/>
  <c r="BY16" i="25"/>
  <c r="BY46" i="25"/>
  <c r="BY8" i="25"/>
  <c r="BY86" i="25"/>
  <c r="BY70" i="25"/>
  <c r="BY88" i="25"/>
  <c r="BY72" i="25"/>
  <c r="BY56" i="25"/>
  <c r="BY40" i="25"/>
  <c r="BY20" i="25"/>
  <c r="BY50" i="25"/>
  <c r="BY30" i="25"/>
  <c r="BY14" i="25"/>
  <c r="BY98" i="25"/>
  <c r="AO5" i="25"/>
  <c r="BK6" i="19"/>
  <c r="BB6" i="19"/>
  <c r="BH7" i="19"/>
  <c r="BF6" i="19"/>
  <c r="BK7" i="19"/>
  <c r="BS7" i="19"/>
  <c r="BF9" i="19"/>
  <c r="BH9" i="19"/>
  <c r="BD9" i="19"/>
  <c r="BA6" i="19"/>
  <c r="BI6" i="19"/>
  <c r="BD6" i="19"/>
  <c r="AZ7" i="19"/>
  <c r="BL7" i="19" s="1"/>
  <c r="BM7" i="19" s="1"/>
  <c r="BZ7" i="19" s="1"/>
  <c r="BG7" i="19"/>
  <c r="BJ7" i="19"/>
  <c r="BS6" i="19"/>
  <c r="AZ6" i="19"/>
  <c r="BL6" i="19" s="1"/>
  <c r="BM6" i="19" s="1"/>
  <c r="BZ6" i="19" s="1"/>
  <c r="BG6" i="19"/>
  <c r="BB7" i="19"/>
  <c r="BF7" i="19"/>
  <c r="BA7" i="19"/>
  <c r="BC6" i="19"/>
  <c r="BH6" i="19"/>
  <c r="BE6" i="19"/>
  <c r="BE7" i="19"/>
  <c r="BI7" i="19"/>
  <c r="BB9" i="19"/>
  <c r="BI9" i="19"/>
  <c r="BB8" i="19"/>
  <c r="BS8" i="19"/>
  <c r="BJ9" i="19"/>
  <c r="BS9" i="19"/>
  <c r="BK8" i="19"/>
  <c r="AZ9" i="19"/>
  <c r="BL9" i="19" s="1"/>
  <c r="BM9" i="19" s="1"/>
  <c r="BZ9" i="19" s="1"/>
  <c r="BD8" i="19"/>
  <c r="BE8" i="19"/>
  <c r="BG8" i="19"/>
  <c r="BE9" i="19"/>
  <c r="BA9" i="19"/>
  <c r="BG9" i="19"/>
  <c r="BH8" i="19"/>
  <c r="BI8" i="19"/>
  <c r="BF8" i="19"/>
  <c r="AZ8" i="19"/>
  <c r="BL8" i="19" s="1"/>
  <c r="BM8" i="19" s="1"/>
  <c r="BZ8" i="19" s="1"/>
  <c r="BK9" i="19"/>
  <c r="BC9" i="19"/>
  <c r="BA8" i="19"/>
  <c r="BJ8" i="19"/>
  <c r="AD216" i="25"/>
  <c r="AE216" i="25" s="1"/>
  <c r="W216" i="25"/>
  <c r="Z216" i="25" s="1"/>
  <c r="AA216" i="25" s="1"/>
  <c r="AB216" i="25" s="1"/>
  <c r="V216" i="25"/>
  <c r="X216" i="25" s="1"/>
  <c r="AD289" i="25"/>
  <c r="AE289" i="25" s="1"/>
  <c r="W289" i="25"/>
  <c r="Z289" i="25" s="1"/>
  <c r="AA289" i="25" s="1"/>
  <c r="AB289" i="25" s="1"/>
  <c r="AD253" i="25"/>
  <c r="AE253" i="25" s="1"/>
  <c r="W253" i="25"/>
  <c r="Z253" i="25" s="1"/>
  <c r="AA253" i="25" s="1"/>
  <c r="AB253" i="25" s="1"/>
  <c r="AO266" i="25"/>
  <c r="V205" i="25"/>
  <c r="U205" i="25"/>
  <c r="AD247" i="25"/>
  <c r="AE247" i="25" s="1"/>
  <c r="W247" i="25"/>
  <c r="Z247" i="25" s="1"/>
  <c r="AA247" i="25" s="1"/>
  <c r="AB247" i="25" s="1"/>
  <c r="AO182" i="25"/>
  <c r="AO185" i="25"/>
  <c r="AO153" i="25"/>
  <c r="AO273" i="25"/>
  <c r="U219" i="25"/>
  <c r="V219" i="25"/>
  <c r="AO83" i="25"/>
  <c r="AO85" i="25"/>
  <c r="AO29" i="25"/>
  <c r="W66" i="25"/>
  <c r="Z66" i="25" s="1"/>
  <c r="AA66" i="25" s="1"/>
  <c r="AB66" i="25" s="1"/>
  <c r="AD66" i="25"/>
  <c r="AE66" i="25" s="1"/>
  <c r="W68" i="25"/>
  <c r="Z68" i="25" s="1"/>
  <c r="AA68" i="25" s="1"/>
  <c r="AB68" i="25" s="1"/>
  <c r="AD68" i="25"/>
  <c r="AE68" i="25" s="1"/>
  <c r="AD16" i="25"/>
  <c r="AE16" i="25" s="1"/>
  <c r="W16" i="25"/>
  <c r="Z16" i="25" s="1"/>
  <c r="AA16" i="25" s="1"/>
  <c r="AB16" i="25" s="1"/>
  <c r="W36" i="25"/>
  <c r="Z36" i="25" s="1"/>
  <c r="AA36" i="25" s="1"/>
  <c r="AB36" i="25" s="1"/>
  <c r="AD36" i="25"/>
  <c r="AE36" i="25" s="1"/>
  <c r="AO36" i="25"/>
  <c r="U292" i="25"/>
  <c r="V292" i="25"/>
  <c r="AO265" i="25"/>
  <c r="V299" i="25"/>
  <c r="U299" i="25"/>
  <c r="AD282" i="25"/>
  <c r="AE282" i="25" s="1"/>
  <c r="W282" i="25"/>
  <c r="Z282" i="25" s="1"/>
  <c r="AA282" i="25" s="1"/>
  <c r="AB282" i="25" s="1"/>
  <c r="AO143" i="25"/>
  <c r="AO268" i="25"/>
  <c r="U260" i="25"/>
  <c r="V260" i="25"/>
  <c r="AO252" i="25"/>
  <c r="AD194" i="25"/>
  <c r="AE194" i="25" s="1"/>
  <c r="W194" i="25"/>
  <c r="Z194" i="25" s="1"/>
  <c r="AA194" i="25" s="1"/>
  <c r="AB194" i="25" s="1"/>
  <c r="AD162" i="25"/>
  <c r="AE162" i="25" s="1"/>
  <c r="W162" i="25"/>
  <c r="Z162" i="25" s="1"/>
  <c r="AA162" i="25" s="1"/>
  <c r="AB162" i="25" s="1"/>
  <c r="V192" i="25"/>
  <c r="U192" i="25"/>
  <c r="W168" i="25"/>
  <c r="Z168" i="25" s="1"/>
  <c r="AA168" i="25" s="1"/>
  <c r="AB168" i="25" s="1"/>
  <c r="AD168" i="25"/>
  <c r="AE168" i="25" s="1"/>
  <c r="V144" i="25"/>
  <c r="U144" i="25"/>
  <c r="AD95" i="25"/>
  <c r="AE95" i="25" s="1"/>
  <c r="W95" i="25"/>
  <c r="Z95" i="25" s="1"/>
  <c r="AA95" i="25" s="1"/>
  <c r="AB95" i="25" s="1"/>
  <c r="V62" i="25"/>
  <c r="U62" i="25"/>
  <c r="AD261" i="25"/>
  <c r="AE261" i="25" s="1"/>
  <c r="W261" i="25"/>
  <c r="Z261" i="25" s="1"/>
  <c r="AA261" i="25" s="1"/>
  <c r="AB261" i="25" s="1"/>
  <c r="AD127" i="25"/>
  <c r="AE127" i="25" s="1"/>
  <c r="W127" i="25"/>
  <c r="Z127" i="25" s="1"/>
  <c r="AA127" i="25" s="1"/>
  <c r="AB127" i="25" s="1"/>
  <c r="W90" i="25"/>
  <c r="Z90" i="25" s="1"/>
  <c r="AA90" i="25" s="1"/>
  <c r="AB90" i="25" s="1"/>
  <c r="AD90" i="25"/>
  <c r="AE90" i="25" s="1"/>
  <c r="W314" i="25"/>
  <c r="Z314" i="25" s="1"/>
  <c r="AA314" i="25" s="1"/>
  <c r="AB314" i="25" s="1"/>
  <c r="AD314" i="25"/>
  <c r="AE314" i="25" s="1"/>
  <c r="V311" i="25"/>
  <c r="U311" i="25"/>
  <c r="U296" i="25"/>
  <c r="V296" i="25"/>
  <c r="W313" i="25"/>
  <c r="Z313" i="25" s="1"/>
  <c r="AA313" i="25" s="1"/>
  <c r="AD313" i="25"/>
  <c r="AE313" i="25" s="1"/>
  <c r="V313" i="25"/>
  <c r="U313" i="25"/>
  <c r="V280" i="25"/>
  <c r="U280" i="25"/>
  <c r="AD286" i="25"/>
  <c r="AE286" i="25" s="1"/>
  <c r="W286" i="25"/>
  <c r="Z286" i="25" s="1"/>
  <c r="AA286" i="25" s="1"/>
  <c r="AB286" i="25" s="1"/>
  <c r="AO286" i="25"/>
  <c r="AO200" i="25"/>
  <c r="U234" i="25"/>
  <c r="V234" i="25"/>
  <c r="AD298" i="25"/>
  <c r="AE298" i="25" s="1"/>
  <c r="W298" i="25"/>
  <c r="Z298" i="25" s="1"/>
  <c r="AA298" i="25" s="1"/>
  <c r="AB298" i="25" s="1"/>
  <c r="AO298" i="25"/>
  <c r="AD195" i="25"/>
  <c r="AE195" i="25" s="1"/>
  <c r="W195" i="25"/>
  <c r="Z195" i="25" s="1"/>
  <c r="AA195" i="25" s="1"/>
  <c r="AO179" i="25"/>
  <c r="AD163" i="25"/>
  <c r="AE163" i="25" s="1"/>
  <c r="W163" i="25"/>
  <c r="Z163" i="25" s="1"/>
  <c r="AA163" i="25" s="1"/>
  <c r="AO147" i="25"/>
  <c r="AD131" i="25"/>
  <c r="AE131" i="25" s="1"/>
  <c r="W131" i="25"/>
  <c r="Z131" i="25" s="1"/>
  <c r="AA131" i="25" s="1"/>
  <c r="U263" i="25"/>
  <c r="V263" i="25"/>
  <c r="AD255" i="25"/>
  <c r="AE255" i="25" s="1"/>
  <c r="W255" i="25"/>
  <c r="Z255" i="25" s="1"/>
  <c r="AA255" i="25" s="1"/>
  <c r="AB255" i="25" s="1"/>
  <c r="AO255" i="25"/>
  <c r="U229" i="25"/>
  <c r="V229" i="25"/>
  <c r="AD198" i="25"/>
  <c r="AE198" i="25" s="1"/>
  <c r="W198" i="25"/>
  <c r="Z198" i="25" s="1"/>
  <c r="AA198" i="25" s="1"/>
  <c r="AB198" i="25" s="1"/>
  <c r="U198" i="25"/>
  <c r="V198" i="25"/>
  <c r="AD166" i="25"/>
  <c r="AE166" i="25" s="1"/>
  <c r="W166" i="25"/>
  <c r="Z166" i="25" s="1"/>
  <c r="AA166" i="25" s="1"/>
  <c r="AB166" i="25" s="1"/>
  <c r="U166" i="25"/>
  <c r="V166" i="25"/>
  <c r="AD134" i="25"/>
  <c r="AE134" i="25" s="1"/>
  <c r="W134" i="25"/>
  <c r="Z134" i="25" s="1"/>
  <c r="AA134" i="25" s="1"/>
  <c r="AB134" i="25" s="1"/>
  <c r="U134" i="25"/>
  <c r="V134" i="25"/>
  <c r="U193" i="25"/>
  <c r="V193" i="25"/>
  <c r="AD185" i="25"/>
  <c r="AE185" i="25" s="1"/>
  <c r="W185" i="25"/>
  <c r="Z185" i="25" s="1"/>
  <c r="AA185" i="25" s="1"/>
  <c r="AB185" i="25" s="1"/>
  <c r="U177" i="25"/>
  <c r="V177" i="25"/>
  <c r="AD169" i="25"/>
  <c r="AE169" i="25" s="1"/>
  <c r="W169" i="25"/>
  <c r="Z169" i="25" s="1"/>
  <c r="AA169" i="25" s="1"/>
  <c r="AB169" i="25" s="1"/>
  <c r="U161" i="25"/>
  <c r="V161" i="25"/>
  <c r="AD153" i="25"/>
  <c r="AE153" i="25" s="1"/>
  <c r="W153" i="25"/>
  <c r="Z153" i="25" s="1"/>
  <c r="AA153" i="25" s="1"/>
  <c r="AB153" i="25" s="1"/>
  <c r="U145" i="25"/>
  <c r="V145" i="25"/>
  <c r="AD137" i="25"/>
  <c r="AE137" i="25" s="1"/>
  <c r="W137" i="25"/>
  <c r="Z137" i="25" s="1"/>
  <c r="AA137" i="25" s="1"/>
  <c r="AB137" i="25" s="1"/>
  <c r="U129" i="25"/>
  <c r="V129" i="25"/>
  <c r="AD119" i="25"/>
  <c r="AE119" i="25" s="1"/>
  <c r="W119" i="25"/>
  <c r="Z119" i="25" s="1"/>
  <c r="AA119" i="25" s="1"/>
  <c r="AO119" i="25"/>
  <c r="V104" i="25"/>
  <c r="U104" i="25"/>
  <c r="V100" i="25"/>
  <c r="U100" i="25"/>
  <c r="V96" i="25"/>
  <c r="U96" i="25"/>
  <c r="V92" i="25"/>
  <c r="U92" i="25"/>
  <c r="U227" i="25"/>
  <c r="V227" i="25"/>
  <c r="AD219" i="25"/>
  <c r="AE219" i="25" s="1"/>
  <c r="W219" i="25"/>
  <c r="Z219" i="25" s="1"/>
  <c r="AA219" i="25" s="1"/>
  <c r="AO219" i="25"/>
  <c r="AO118" i="25"/>
  <c r="AO67" i="25"/>
  <c r="AO51" i="25"/>
  <c r="AO31" i="25"/>
  <c r="V31" i="25"/>
  <c r="U31" i="25"/>
  <c r="AO15" i="25"/>
  <c r="V85" i="25"/>
  <c r="U85" i="25"/>
  <c r="V61" i="25"/>
  <c r="U61" i="25"/>
  <c r="V29" i="25"/>
  <c r="U29" i="25"/>
  <c r="V302" i="25"/>
  <c r="U302" i="25"/>
  <c r="AD292" i="25"/>
  <c r="AE292" i="25" s="1"/>
  <c r="W292" i="25"/>
  <c r="Z292" i="25" s="1"/>
  <c r="AA292" i="25" s="1"/>
  <c r="AB292" i="25" s="1"/>
  <c r="AO292" i="25"/>
  <c r="AO312" i="25"/>
  <c r="V271" i="25"/>
  <c r="U271" i="25"/>
  <c r="AD276" i="25"/>
  <c r="AE276" i="25" s="1"/>
  <c r="W276" i="25"/>
  <c r="Z276" i="25" s="1"/>
  <c r="AA276" i="25" s="1"/>
  <c r="AB276" i="25" s="1"/>
  <c r="AO276" i="25"/>
  <c r="U233" i="25"/>
  <c r="V233" i="25"/>
  <c r="AD299" i="25"/>
  <c r="AE299" i="25" s="1"/>
  <c r="W299" i="25"/>
  <c r="Z299" i="25" s="1"/>
  <c r="AA299" i="25" s="1"/>
  <c r="U210" i="25"/>
  <c r="V210" i="25"/>
  <c r="AD202" i="25"/>
  <c r="AE202" i="25" s="1"/>
  <c r="W202" i="25"/>
  <c r="Z202" i="25" s="1"/>
  <c r="AA202" i="25" s="1"/>
  <c r="AB202" i="25" s="1"/>
  <c r="V191" i="25"/>
  <c r="U191" i="25"/>
  <c r="AD175" i="25"/>
  <c r="AE175" i="25" s="1"/>
  <c r="W175" i="25"/>
  <c r="Z175" i="25" s="1"/>
  <c r="AA175" i="25" s="1"/>
  <c r="V159" i="25"/>
  <c r="U159" i="25"/>
  <c r="AD143" i="25"/>
  <c r="AE143" i="25" s="1"/>
  <c r="W143" i="25"/>
  <c r="Z143" i="25" s="1"/>
  <c r="AA143" i="25" s="1"/>
  <c r="AD260" i="25"/>
  <c r="AE260" i="25" s="1"/>
  <c r="W260" i="25"/>
  <c r="Z260" i="25" s="1"/>
  <c r="AA260" i="25" s="1"/>
  <c r="AO260" i="25"/>
  <c r="U236" i="25"/>
  <c r="V236" i="25"/>
  <c r="AD225" i="25"/>
  <c r="AE225" i="25" s="1"/>
  <c r="W225" i="25"/>
  <c r="Z225" i="25" s="1"/>
  <c r="AA225" i="25" s="1"/>
  <c r="AO225" i="25"/>
  <c r="AO194" i="25"/>
  <c r="AO162" i="25"/>
  <c r="AD130" i="25"/>
  <c r="AE130" i="25" s="1"/>
  <c r="W130" i="25"/>
  <c r="Z130" i="25" s="1"/>
  <c r="AA130" i="25" s="1"/>
  <c r="AO192" i="25"/>
  <c r="AO160" i="25"/>
  <c r="AD99" i="25"/>
  <c r="AE99" i="25" s="1"/>
  <c r="W99" i="25"/>
  <c r="Z99" i="25" s="1"/>
  <c r="AA99" i="25" s="1"/>
  <c r="AB99" i="25" s="1"/>
  <c r="AD91" i="25"/>
  <c r="AE91" i="25" s="1"/>
  <c r="W91" i="25"/>
  <c r="Z91" i="25" s="1"/>
  <c r="AA91" i="25" s="1"/>
  <c r="AB91" i="25" s="1"/>
  <c r="V57" i="25"/>
  <c r="U57" i="25"/>
  <c r="V64" i="25"/>
  <c r="U64" i="25"/>
  <c r="AO291" i="25"/>
  <c r="AD171" i="25"/>
  <c r="AE171" i="25" s="1"/>
  <c r="W171" i="25"/>
  <c r="Z171" i="25" s="1"/>
  <c r="AA171" i="25" s="1"/>
  <c r="AB171" i="25" s="1"/>
  <c r="W278" i="25"/>
  <c r="Z278" i="25" s="1"/>
  <c r="AA278" i="25" s="1"/>
  <c r="AB278" i="25" s="1"/>
  <c r="AD278" i="25"/>
  <c r="AE278" i="25" s="1"/>
  <c r="U181" i="25"/>
  <c r="V181" i="25"/>
  <c r="U149" i="25"/>
  <c r="V149" i="25"/>
  <c r="U117" i="25"/>
  <c r="V117" i="25"/>
  <c r="AD60" i="25"/>
  <c r="AE60" i="25" s="1"/>
  <c r="W60" i="25"/>
  <c r="Z60" i="25" s="1"/>
  <c r="AA60" i="25" s="1"/>
  <c r="AB60" i="25" s="1"/>
  <c r="W24" i="25"/>
  <c r="Z24" i="25" s="1"/>
  <c r="AA24" i="25" s="1"/>
  <c r="AB24" i="25" s="1"/>
  <c r="AD24" i="25"/>
  <c r="AE24" i="25" s="1"/>
  <c r="AO283" i="25"/>
  <c r="V188" i="25"/>
  <c r="U188" i="25"/>
  <c r="AD75" i="25"/>
  <c r="AE75" i="25" s="1"/>
  <c r="W75" i="25"/>
  <c r="Z75" i="25" s="1"/>
  <c r="AA75" i="25" s="1"/>
  <c r="AB75" i="25" s="1"/>
  <c r="AD303" i="25"/>
  <c r="AE303" i="25" s="1"/>
  <c r="W303" i="25"/>
  <c r="Z303" i="25" s="1"/>
  <c r="AA303" i="25" s="1"/>
  <c r="AO313" i="25"/>
  <c r="U286" i="25"/>
  <c r="V286" i="25"/>
  <c r="AO253" i="25"/>
  <c r="AD220" i="25"/>
  <c r="AE220" i="25" s="1"/>
  <c r="W220" i="25"/>
  <c r="Z220" i="25" s="1"/>
  <c r="AA220" i="25" s="1"/>
  <c r="AB220" i="25" s="1"/>
  <c r="V195" i="25"/>
  <c r="U195" i="25"/>
  <c r="V163" i="25"/>
  <c r="U163" i="25"/>
  <c r="V131" i="25"/>
  <c r="U131" i="25"/>
  <c r="AO270" i="25"/>
  <c r="U255" i="25"/>
  <c r="V255" i="25"/>
  <c r="AO137" i="25"/>
  <c r="AD118" i="25"/>
  <c r="AE118" i="25" s="1"/>
  <c r="W118" i="25"/>
  <c r="Z118" i="25" s="1"/>
  <c r="AA118" i="25" s="1"/>
  <c r="V15" i="25"/>
  <c r="U15" i="25"/>
  <c r="W82" i="25"/>
  <c r="Z82" i="25" s="1"/>
  <c r="AA82" i="25" s="1"/>
  <c r="AB82" i="25" s="1"/>
  <c r="AD82" i="25"/>
  <c r="AE82" i="25" s="1"/>
  <c r="AO66" i="25"/>
  <c r="W52" i="25"/>
  <c r="Z52" i="25" s="1"/>
  <c r="AA52" i="25" s="1"/>
  <c r="AB52" i="25" s="1"/>
  <c r="AD52" i="25"/>
  <c r="AE52" i="25" s="1"/>
  <c r="AD81" i="25"/>
  <c r="AE81" i="25" s="1"/>
  <c r="W81" i="25"/>
  <c r="Z81" i="25" s="1"/>
  <c r="AA81" i="25" s="1"/>
  <c r="AB81" i="25" s="1"/>
  <c r="AD41" i="25"/>
  <c r="AE41" i="25" s="1"/>
  <c r="W41" i="25"/>
  <c r="Z41" i="25" s="1"/>
  <c r="AA41" i="25" s="1"/>
  <c r="AB41" i="25" s="1"/>
  <c r="W310" i="25"/>
  <c r="Z310" i="25" s="1"/>
  <c r="AA310" i="25" s="1"/>
  <c r="AB310" i="25" s="1"/>
  <c r="AD310" i="25"/>
  <c r="AE310" i="25" s="1"/>
  <c r="AO302" i="25"/>
  <c r="AD312" i="25"/>
  <c r="AE312" i="25" s="1"/>
  <c r="W312" i="25"/>
  <c r="Z312" i="25" s="1"/>
  <c r="AA312" i="25" s="1"/>
  <c r="AB312" i="25" s="1"/>
  <c r="AD265" i="25"/>
  <c r="AE265" i="25" s="1"/>
  <c r="W265" i="25"/>
  <c r="Z265" i="25" s="1"/>
  <c r="AA265" i="25" s="1"/>
  <c r="AB265" i="25" s="1"/>
  <c r="AO299" i="25"/>
  <c r="AO262" i="25"/>
  <c r="AO282" i="25"/>
  <c r="AO202" i="25"/>
  <c r="AO175" i="25"/>
  <c r="AD252" i="25"/>
  <c r="AE252" i="25" s="1"/>
  <c r="W252" i="25"/>
  <c r="Z252" i="25" s="1"/>
  <c r="AA252" i="25" s="1"/>
  <c r="U194" i="25"/>
  <c r="V194" i="25"/>
  <c r="AO130" i="25"/>
  <c r="W176" i="25"/>
  <c r="Z176" i="25" s="1"/>
  <c r="AA176" i="25" s="1"/>
  <c r="AD176" i="25"/>
  <c r="AE176" i="25" s="1"/>
  <c r="V160" i="25"/>
  <c r="U160" i="25"/>
  <c r="V128" i="25"/>
  <c r="U128" i="25"/>
  <c r="V103" i="25"/>
  <c r="U103" i="25"/>
  <c r="AO63" i="25"/>
  <c r="V77" i="25"/>
  <c r="U77" i="25"/>
  <c r="AO288" i="25"/>
  <c r="U221" i="25"/>
  <c r="V221" i="25"/>
  <c r="AD165" i="25"/>
  <c r="AE165" i="25" s="1"/>
  <c r="W165" i="25"/>
  <c r="Z165" i="25" s="1"/>
  <c r="AA165" i="25" s="1"/>
  <c r="AB165" i="25" s="1"/>
  <c r="V94" i="25"/>
  <c r="U94" i="25"/>
  <c r="W9" i="25"/>
  <c r="Z9" i="25" s="1"/>
  <c r="AA9" i="25" s="1"/>
  <c r="AB9" i="25" s="1"/>
  <c r="AD9" i="25"/>
  <c r="AE9" i="25" s="1"/>
  <c r="V314" i="25"/>
  <c r="U314" i="25"/>
  <c r="V303" i="25"/>
  <c r="U303" i="25"/>
  <c r="W311" i="25"/>
  <c r="Z311" i="25" s="1"/>
  <c r="AA311" i="25" s="1"/>
  <c r="AD311" i="25"/>
  <c r="AE311" i="25" s="1"/>
  <c r="AO311" i="25"/>
  <c r="U289" i="25"/>
  <c r="V289" i="25"/>
  <c r="W275" i="25"/>
  <c r="Z275" i="25" s="1"/>
  <c r="AA275" i="25" s="1"/>
  <c r="AB275" i="25" s="1"/>
  <c r="AD275" i="25"/>
  <c r="AE275" i="25" s="1"/>
  <c r="U253" i="25"/>
  <c r="V253" i="25"/>
  <c r="AD237" i="25"/>
  <c r="AE237" i="25" s="1"/>
  <c r="W237" i="25"/>
  <c r="Z237" i="25" s="1"/>
  <c r="AA237" i="25" s="1"/>
  <c r="AO237" i="25"/>
  <c r="V200" i="25"/>
  <c r="U200" i="25"/>
  <c r="U266" i="25"/>
  <c r="V266" i="25"/>
  <c r="AD250" i="25"/>
  <c r="AE250" i="25" s="1"/>
  <c r="W250" i="25"/>
  <c r="Z250" i="25" s="1"/>
  <c r="AA250" i="25" s="1"/>
  <c r="AO250" i="25"/>
  <c r="U220" i="25"/>
  <c r="V220" i="25"/>
  <c r="W205" i="25"/>
  <c r="Z205" i="25" s="1"/>
  <c r="AA205" i="25" s="1"/>
  <c r="AB205" i="25" s="1"/>
  <c r="AD205" i="25"/>
  <c r="AE205" i="25" s="1"/>
  <c r="AO195" i="25"/>
  <c r="AD179" i="25"/>
  <c r="AE179" i="25" s="1"/>
  <c r="W179" i="25"/>
  <c r="Z179" i="25" s="1"/>
  <c r="AA179" i="25" s="1"/>
  <c r="AO163" i="25"/>
  <c r="AD147" i="25"/>
  <c r="AE147" i="25" s="1"/>
  <c r="W147" i="25"/>
  <c r="Z147" i="25" s="1"/>
  <c r="AA147" i="25" s="1"/>
  <c r="AO131" i="25"/>
  <c r="W270" i="25"/>
  <c r="Z270" i="25" s="1"/>
  <c r="AA270" i="25" s="1"/>
  <c r="AD270" i="25"/>
  <c r="AE270" i="25" s="1"/>
  <c r="V270" i="25"/>
  <c r="U270" i="25"/>
  <c r="U247" i="25"/>
  <c r="V247" i="25"/>
  <c r="AD239" i="25"/>
  <c r="AE239" i="25" s="1"/>
  <c r="W239" i="25"/>
  <c r="Z239" i="25" s="1"/>
  <c r="AA239" i="25" s="1"/>
  <c r="AO239" i="25"/>
  <c r="AD182" i="25"/>
  <c r="AE182" i="25" s="1"/>
  <c r="W182" i="25"/>
  <c r="Z182" i="25" s="1"/>
  <c r="AA182" i="25" s="1"/>
  <c r="AB182" i="25" s="1"/>
  <c r="U182" i="25"/>
  <c r="V182" i="25"/>
  <c r="AD150" i="25"/>
  <c r="AE150" i="25" s="1"/>
  <c r="W150" i="25"/>
  <c r="Z150" i="25" s="1"/>
  <c r="AA150" i="25" s="1"/>
  <c r="AB150" i="25" s="1"/>
  <c r="U150" i="25"/>
  <c r="V150" i="25"/>
  <c r="AD193" i="25"/>
  <c r="AE193" i="25" s="1"/>
  <c r="W193" i="25"/>
  <c r="Z193" i="25" s="1"/>
  <c r="AA193" i="25" s="1"/>
  <c r="U185" i="25"/>
  <c r="V185" i="25"/>
  <c r="AD177" i="25"/>
  <c r="AE177" i="25" s="1"/>
  <c r="W177" i="25"/>
  <c r="Z177" i="25" s="1"/>
  <c r="AA177" i="25" s="1"/>
  <c r="U169" i="25"/>
  <c r="V169" i="25"/>
  <c r="AD161" i="25"/>
  <c r="AE161" i="25" s="1"/>
  <c r="W161" i="25"/>
  <c r="Z161" i="25" s="1"/>
  <c r="AA161" i="25" s="1"/>
  <c r="U153" i="25"/>
  <c r="V153" i="25"/>
  <c r="AD145" i="25"/>
  <c r="AE145" i="25" s="1"/>
  <c r="W145" i="25"/>
  <c r="Z145" i="25" s="1"/>
  <c r="AA145" i="25" s="1"/>
  <c r="U137" i="25"/>
  <c r="V137" i="25"/>
  <c r="AD129" i="25"/>
  <c r="AE129" i="25" s="1"/>
  <c r="W129" i="25"/>
  <c r="Z129" i="25" s="1"/>
  <c r="AA129" i="25" s="1"/>
  <c r="AD104" i="25"/>
  <c r="AE104" i="25" s="1"/>
  <c r="W104" i="25"/>
  <c r="Z104" i="25" s="1"/>
  <c r="AA104" i="25" s="1"/>
  <c r="AB104" i="25" s="1"/>
  <c r="AD100" i="25"/>
  <c r="AE100" i="25" s="1"/>
  <c r="W100" i="25"/>
  <c r="Z100" i="25" s="1"/>
  <c r="AA100" i="25" s="1"/>
  <c r="AB100" i="25" s="1"/>
  <c r="AO100" i="25"/>
  <c r="AD96" i="25"/>
  <c r="AE96" i="25" s="1"/>
  <c r="W96" i="25"/>
  <c r="Z96" i="25" s="1"/>
  <c r="AA96" i="25" s="1"/>
  <c r="AB96" i="25" s="1"/>
  <c r="AD92" i="25"/>
  <c r="AE92" i="25" s="1"/>
  <c r="W92" i="25"/>
  <c r="Z92" i="25" s="1"/>
  <c r="AA92" i="25" s="1"/>
  <c r="AB92" i="25" s="1"/>
  <c r="AO92" i="25"/>
  <c r="AD273" i="25"/>
  <c r="AE273" i="25" s="1"/>
  <c r="W273" i="25"/>
  <c r="Z273" i="25" s="1"/>
  <c r="AA273" i="25" s="1"/>
  <c r="V67" i="25"/>
  <c r="U67" i="25"/>
  <c r="AO61" i="25"/>
  <c r="AO11" i="25"/>
  <c r="AO7" i="25"/>
  <c r="AO82" i="25"/>
  <c r="AO84" i="25"/>
  <c r="AO68" i="25"/>
  <c r="AO52" i="25"/>
  <c r="V32" i="25"/>
  <c r="U32" i="25"/>
  <c r="AO32" i="25"/>
  <c r="V16" i="25"/>
  <c r="U16" i="25"/>
  <c r="AO16" i="25"/>
  <c r="AO81" i="25"/>
  <c r="V81" i="25"/>
  <c r="U81" i="25"/>
  <c r="AO41" i="25"/>
  <c r="V41" i="25"/>
  <c r="U41" i="25"/>
  <c r="AO46" i="25"/>
  <c r="AO26" i="25"/>
  <c r="V310" i="25"/>
  <c r="U310" i="25"/>
  <c r="AD302" i="25"/>
  <c r="AE302" i="25" s="1"/>
  <c r="W302" i="25"/>
  <c r="Z302" i="25" s="1"/>
  <c r="AA302" i="25" s="1"/>
  <c r="V312" i="25"/>
  <c r="U312" i="25"/>
  <c r="AD285" i="25"/>
  <c r="AE285" i="25" s="1"/>
  <c r="W285" i="25"/>
  <c r="Z285" i="25" s="1"/>
  <c r="AA285" i="25" s="1"/>
  <c r="AO285" i="25"/>
  <c r="AO271" i="25"/>
  <c r="U265" i="25"/>
  <c r="V265" i="25"/>
  <c r="AD249" i="25"/>
  <c r="AE249" i="25" s="1"/>
  <c r="W249" i="25"/>
  <c r="Z249" i="25" s="1"/>
  <c r="AA249" i="25" s="1"/>
  <c r="AO249" i="25"/>
  <c r="U262" i="25"/>
  <c r="V262" i="25"/>
  <c r="AD246" i="25"/>
  <c r="AE246" i="25" s="1"/>
  <c r="W246" i="25"/>
  <c r="Z246" i="25" s="1"/>
  <c r="AA246" i="25" s="1"/>
  <c r="AO246" i="25"/>
  <c r="AO207" i="25"/>
  <c r="U282" i="25"/>
  <c r="V282" i="25"/>
  <c r="AD210" i="25"/>
  <c r="AE210" i="25" s="1"/>
  <c r="W210" i="25"/>
  <c r="Z210" i="25" s="1"/>
  <c r="AA210" i="25" s="1"/>
  <c r="U202" i="25"/>
  <c r="V202" i="25"/>
  <c r="AD191" i="25"/>
  <c r="AE191" i="25" s="1"/>
  <c r="W191" i="25"/>
  <c r="Z191" i="25" s="1"/>
  <c r="AA191" i="25" s="1"/>
  <c r="V175" i="25"/>
  <c r="U175" i="25"/>
  <c r="AD159" i="25"/>
  <c r="AE159" i="25" s="1"/>
  <c r="W159" i="25"/>
  <c r="Z159" i="25" s="1"/>
  <c r="AA159" i="25" s="1"/>
  <c r="V143" i="25"/>
  <c r="U143" i="25"/>
  <c r="AD287" i="25"/>
  <c r="AE287" i="25" s="1"/>
  <c r="W287" i="25"/>
  <c r="Z287" i="25" s="1"/>
  <c r="AA287" i="25" s="1"/>
  <c r="AO287" i="25"/>
  <c r="U268" i="25"/>
  <c r="V268" i="25"/>
  <c r="U252" i="25"/>
  <c r="V252" i="25"/>
  <c r="AD244" i="25"/>
  <c r="AE244" i="25" s="1"/>
  <c r="W244" i="25"/>
  <c r="Z244" i="25" s="1"/>
  <c r="AA244" i="25" s="1"/>
  <c r="AO244" i="25"/>
  <c r="AO178" i="25"/>
  <c r="U146" i="25"/>
  <c r="V146" i="25"/>
  <c r="U130" i="25"/>
  <c r="V130" i="25"/>
  <c r="AO176" i="25"/>
  <c r="AD103" i="25"/>
  <c r="AE103" i="25" s="1"/>
  <c r="W103" i="25"/>
  <c r="Z103" i="25" s="1"/>
  <c r="AA103" i="25" s="1"/>
  <c r="AB103" i="25" s="1"/>
  <c r="V91" i="25"/>
  <c r="U91" i="25"/>
  <c r="AD291" i="25"/>
  <c r="AE291" i="25" s="1"/>
  <c r="W291" i="25"/>
  <c r="Z291" i="25" s="1"/>
  <c r="AA291" i="25" s="1"/>
  <c r="AB291" i="25" s="1"/>
  <c r="V278" i="25"/>
  <c r="U278" i="25"/>
  <c r="AD174" i="25"/>
  <c r="AE174" i="25" s="1"/>
  <c r="W174" i="25"/>
  <c r="Z174" i="25" s="1"/>
  <c r="AA174" i="25" s="1"/>
  <c r="V304" i="25"/>
  <c r="U304" i="25"/>
  <c r="AO217" i="25"/>
  <c r="AD55" i="25"/>
  <c r="AE55" i="25" s="1"/>
  <c r="W55" i="25"/>
  <c r="Z55" i="25" s="1"/>
  <c r="AA55" i="25" s="1"/>
  <c r="AB55" i="25" s="1"/>
  <c r="AO314" i="25"/>
  <c r="AO303" i="25"/>
  <c r="AO289" i="25"/>
  <c r="AO275" i="25"/>
  <c r="AD266" i="25"/>
  <c r="AE266" i="25" s="1"/>
  <c r="W266" i="25"/>
  <c r="Z266" i="25" s="1"/>
  <c r="AA266" i="25" s="1"/>
  <c r="U298" i="25"/>
  <c r="V298" i="25"/>
  <c r="AO220" i="25"/>
  <c r="AO247" i="25"/>
  <c r="AO150" i="25"/>
  <c r="AO169" i="25"/>
  <c r="V119" i="25"/>
  <c r="U119" i="25"/>
  <c r="V118" i="25"/>
  <c r="U118" i="25"/>
  <c r="V116" i="25"/>
  <c r="U116" i="25"/>
  <c r="AD84" i="25"/>
  <c r="AE84" i="25" s="1"/>
  <c r="W84" i="25"/>
  <c r="Z84" i="25" s="1"/>
  <c r="AA84" i="25" s="1"/>
  <c r="AB84" i="25" s="1"/>
  <c r="W32" i="25"/>
  <c r="Z32" i="25" s="1"/>
  <c r="AA32" i="25" s="1"/>
  <c r="AB32" i="25" s="1"/>
  <c r="AD32" i="25"/>
  <c r="AE32" i="25" s="1"/>
  <c r="W46" i="25"/>
  <c r="Z46" i="25" s="1"/>
  <c r="AA46" i="25" s="1"/>
  <c r="AB46" i="25" s="1"/>
  <c r="AD46" i="25"/>
  <c r="AE46" i="25" s="1"/>
  <c r="W26" i="25"/>
  <c r="Z26" i="25" s="1"/>
  <c r="AA26" i="25" s="1"/>
  <c r="AB26" i="25" s="1"/>
  <c r="AD26" i="25"/>
  <c r="AE26" i="25" s="1"/>
  <c r="V307" i="25"/>
  <c r="U307" i="25"/>
  <c r="V276" i="25"/>
  <c r="U276" i="25"/>
  <c r="AD262" i="25"/>
  <c r="AE262" i="25" s="1"/>
  <c r="W262" i="25"/>
  <c r="Z262" i="25" s="1"/>
  <c r="AA262" i="25" s="1"/>
  <c r="U225" i="25"/>
  <c r="V225" i="25"/>
  <c r="U162" i="25"/>
  <c r="V162" i="25"/>
  <c r="V184" i="25"/>
  <c r="U184" i="25"/>
  <c r="V152" i="25"/>
  <c r="U152" i="25"/>
  <c r="V136" i="25"/>
  <c r="U136" i="25"/>
  <c r="AO115" i="25"/>
  <c r="V272" i="25"/>
  <c r="U272" i="25"/>
  <c r="AO139" i="25"/>
  <c r="AD189" i="25"/>
  <c r="AE189" i="25" s="1"/>
  <c r="W189" i="25"/>
  <c r="Z189" i="25" s="1"/>
  <c r="AA189" i="25" s="1"/>
  <c r="AB189" i="25" s="1"/>
  <c r="V102" i="25"/>
  <c r="U102" i="25"/>
  <c r="AD49" i="25"/>
  <c r="AE49" i="25" s="1"/>
  <c r="W49" i="25"/>
  <c r="Z49" i="25" s="1"/>
  <c r="AA49" i="25" s="1"/>
  <c r="AB49" i="25" s="1"/>
  <c r="W54" i="25"/>
  <c r="Z54" i="25" s="1"/>
  <c r="AA54" i="25" s="1"/>
  <c r="AB54" i="25" s="1"/>
  <c r="AD54" i="25"/>
  <c r="AE54" i="25" s="1"/>
  <c r="AD296" i="25"/>
  <c r="AE296" i="25" s="1"/>
  <c r="W296" i="25"/>
  <c r="Z296" i="25" s="1"/>
  <c r="AA296" i="25" s="1"/>
  <c r="AO296" i="25"/>
  <c r="V275" i="25"/>
  <c r="U275" i="25"/>
  <c r="AD280" i="25"/>
  <c r="AE280" i="25" s="1"/>
  <c r="W280" i="25"/>
  <c r="Z280" i="25" s="1"/>
  <c r="AA280" i="25" s="1"/>
  <c r="AO280" i="25"/>
  <c r="U237" i="25"/>
  <c r="V237" i="25"/>
  <c r="AD200" i="25"/>
  <c r="AE200" i="25" s="1"/>
  <c r="W200" i="25"/>
  <c r="Z200" i="25" s="1"/>
  <c r="AA200" i="25" s="1"/>
  <c r="U250" i="25"/>
  <c r="V250" i="25"/>
  <c r="AD234" i="25"/>
  <c r="AE234" i="25" s="1"/>
  <c r="W234" i="25"/>
  <c r="Z234" i="25" s="1"/>
  <c r="AA234" i="25" s="1"/>
  <c r="AO234" i="25"/>
  <c r="AO205" i="25"/>
  <c r="V179" i="25"/>
  <c r="U179" i="25"/>
  <c r="V147" i="25"/>
  <c r="U147" i="25"/>
  <c r="AD263" i="25"/>
  <c r="AE263" i="25" s="1"/>
  <c r="W263" i="25"/>
  <c r="Z263" i="25" s="1"/>
  <c r="AA263" i="25" s="1"/>
  <c r="AO263" i="25"/>
  <c r="U239" i="25"/>
  <c r="V239" i="25"/>
  <c r="AD229" i="25"/>
  <c r="AE229" i="25" s="1"/>
  <c r="W229" i="25"/>
  <c r="Z229" i="25" s="1"/>
  <c r="AA229" i="25" s="1"/>
  <c r="AO229" i="25"/>
  <c r="AO198" i="25"/>
  <c r="AO166" i="25"/>
  <c r="AO134" i="25"/>
  <c r="AO193" i="25"/>
  <c r="AO177" i="25"/>
  <c r="AO161" i="25"/>
  <c r="AO145" i="25"/>
  <c r="AO129" i="25"/>
  <c r="AO104" i="25"/>
  <c r="AO96" i="25"/>
  <c r="V273" i="25"/>
  <c r="U273" i="25"/>
  <c r="AD227" i="25"/>
  <c r="AE227" i="25" s="1"/>
  <c r="W227" i="25"/>
  <c r="Z227" i="25" s="1"/>
  <c r="AA227" i="25" s="1"/>
  <c r="AO227" i="25"/>
  <c r="W83" i="25"/>
  <c r="Z83" i="25" s="1"/>
  <c r="AA83" i="25" s="1"/>
  <c r="AB83" i="25" s="1"/>
  <c r="AD83" i="25"/>
  <c r="AE83" i="25" s="1"/>
  <c r="V83" i="25"/>
  <c r="U83" i="25"/>
  <c r="AD67" i="25"/>
  <c r="AE67" i="25" s="1"/>
  <c r="W67" i="25"/>
  <c r="Z67" i="25" s="1"/>
  <c r="AA67" i="25" s="1"/>
  <c r="AB67" i="25" s="1"/>
  <c r="W51" i="25"/>
  <c r="Z51" i="25" s="1"/>
  <c r="AA51" i="25" s="1"/>
  <c r="AB51" i="25" s="1"/>
  <c r="AD51" i="25"/>
  <c r="AE51" i="25" s="1"/>
  <c r="V51" i="25"/>
  <c r="U51" i="25"/>
  <c r="W31" i="25"/>
  <c r="Z31" i="25" s="1"/>
  <c r="AA31" i="25" s="1"/>
  <c r="AB31" i="25" s="1"/>
  <c r="AD31" i="25"/>
  <c r="AE31" i="25" s="1"/>
  <c r="AD15" i="25"/>
  <c r="AE15" i="25" s="1"/>
  <c r="W15" i="25"/>
  <c r="Z15" i="25" s="1"/>
  <c r="AA15" i="25" s="1"/>
  <c r="AB15" i="25" s="1"/>
  <c r="AD85" i="25"/>
  <c r="AE85" i="25" s="1"/>
  <c r="W85" i="25"/>
  <c r="Z85" i="25" s="1"/>
  <c r="AA85" i="25" s="1"/>
  <c r="AB85" i="25" s="1"/>
  <c r="AD61" i="25"/>
  <c r="AE61" i="25" s="1"/>
  <c r="W61" i="25"/>
  <c r="Z61" i="25" s="1"/>
  <c r="AA61" i="25" s="1"/>
  <c r="AB61" i="25" s="1"/>
  <c r="AD29" i="25"/>
  <c r="AE29" i="25" s="1"/>
  <c r="W29" i="25"/>
  <c r="Z29" i="25" s="1"/>
  <c r="AA29" i="25" s="1"/>
  <c r="AB29" i="25" s="1"/>
  <c r="W11" i="25"/>
  <c r="Z11" i="25" s="1"/>
  <c r="AA11" i="25" s="1"/>
  <c r="AB11" i="25" s="1"/>
  <c r="AD11" i="25"/>
  <c r="AE11" i="25" s="1"/>
  <c r="U11" i="25"/>
  <c r="V11" i="25"/>
  <c r="W7" i="25"/>
  <c r="Z7" i="25" s="1"/>
  <c r="AA7" i="25" s="1"/>
  <c r="AB7" i="25" s="1"/>
  <c r="AD7" i="25"/>
  <c r="AE7" i="25" s="1"/>
  <c r="U7" i="25"/>
  <c r="V7" i="25"/>
  <c r="AD116" i="25"/>
  <c r="AE116" i="25" s="1"/>
  <c r="W116" i="25"/>
  <c r="Z116" i="25" s="1"/>
  <c r="AA116" i="25" s="1"/>
  <c r="AO116" i="25"/>
  <c r="V82" i="25"/>
  <c r="U82" i="25"/>
  <c r="V66" i="25"/>
  <c r="U66" i="25"/>
  <c r="V84" i="25"/>
  <c r="U84" i="25"/>
  <c r="V68" i="25"/>
  <c r="U68" i="25"/>
  <c r="V52" i="25"/>
  <c r="U52" i="25"/>
  <c r="V46" i="25"/>
  <c r="U46" i="25"/>
  <c r="V36" i="25"/>
  <c r="U36" i="25"/>
  <c r="V26" i="25"/>
  <c r="U26" i="25"/>
  <c r="AO310" i="25"/>
  <c r="AD307" i="25"/>
  <c r="AE307" i="25" s="1"/>
  <c r="W307" i="25"/>
  <c r="Z307" i="25" s="1"/>
  <c r="AA307" i="25" s="1"/>
  <c r="AO307" i="25"/>
  <c r="U285" i="25"/>
  <c r="V285" i="25"/>
  <c r="W271" i="25"/>
  <c r="Z271" i="25" s="1"/>
  <c r="AA271" i="25" s="1"/>
  <c r="AB271" i="25" s="1"/>
  <c r="AD271" i="25"/>
  <c r="AE271" i="25" s="1"/>
  <c r="U249" i="25"/>
  <c r="V249" i="25"/>
  <c r="AD233" i="25"/>
  <c r="AE233" i="25" s="1"/>
  <c r="W233" i="25"/>
  <c r="Z233" i="25" s="1"/>
  <c r="AA233" i="25" s="1"/>
  <c r="AO233" i="25"/>
  <c r="U246" i="25"/>
  <c r="V246" i="25"/>
  <c r="AD207" i="25"/>
  <c r="AE207" i="25" s="1"/>
  <c r="W207" i="25"/>
  <c r="Z207" i="25" s="1"/>
  <c r="AA207" i="25" s="1"/>
  <c r="AB207" i="25" s="1"/>
  <c r="U207" i="25"/>
  <c r="V207" i="25"/>
  <c r="AO210" i="25"/>
  <c r="AO191" i="25"/>
  <c r="AO159" i="25"/>
  <c r="U287" i="25"/>
  <c r="V287" i="25"/>
  <c r="AD268" i="25"/>
  <c r="AE268" i="25" s="1"/>
  <c r="W268" i="25"/>
  <c r="Z268" i="25" s="1"/>
  <c r="AA268" i="25" s="1"/>
  <c r="U244" i="25"/>
  <c r="V244" i="25"/>
  <c r="AD236" i="25"/>
  <c r="AE236" i="25" s="1"/>
  <c r="W236" i="25"/>
  <c r="Z236" i="25" s="1"/>
  <c r="AA236" i="25" s="1"/>
  <c r="AO236" i="25"/>
  <c r="AD178" i="25"/>
  <c r="AE178" i="25" s="1"/>
  <c r="W178" i="25"/>
  <c r="Z178" i="25" s="1"/>
  <c r="AA178" i="25" s="1"/>
  <c r="AB178" i="25" s="1"/>
  <c r="U178" i="25"/>
  <c r="V178" i="25"/>
  <c r="AD146" i="25"/>
  <c r="AE146" i="25" s="1"/>
  <c r="W146" i="25"/>
  <c r="Z146" i="25" s="1"/>
  <c r="AA146" i="25" s="1"/>
  <c r="W192" i="25"/>
  <c r="Z192" i="25" s="1"/>
  <c r="AA192" i="25" s="1"/>
  <c r="AD192" i="25"/>
  <c r="AE192" i="25" s="1"/>
  <c r="W184" i="25"/>
  <c r="Z184" i="25" s="1"/>
  <c r="AA184" i="25" s="1"/>
  <c r="AB184" i="25" s="1"/>
  <c r="AD184" i="25"/>
  <c r="AE184" i="25" s="1"/>
  <c r="V176" i="25"/>
  <c r="U176" i="25"/>
  <c r="V168" i="25"/>
  <c r="U168" i="25"/>
  <c r="W160" i="25"/>
  <c r="Z160" i="25" s="1"/>
  <c r="AA160" i="25" s="1"/>
  <c r="AD160" i="25"/>
  <c r="AE160" i="25" s="1"/>
  <c r="W152" i="25"/>
  <c r="Z152" i="25" s="1"/>
  <c r="AA152" i="25" s="1"/>
  <c r="AD152" i="25"/>
  <c r="AE152" i="25" s="1"/>
  <c r="W144" i="25"/>
  <c r="Z144" i="25" s="1"/>
  <c r="AA144" i="25" s="1"/>
  <c r="AD144" i="25"/>
  <c r="AE144" i="25" s="1"/>
  <c r="W136" i="25"/>
  <c r="Z136" i="25" s="1"/>
  <c r="AA136" i="25" s="1"/>
  <c r="AD136" i="25"/>
  <c r="AE136" i="25" s="1"/>
  <c r="W128" i="25"/>
  <c r="Z128" i="25" s="1"/>
  <c r="AA128" i="25" s="1"/>
  <c r="AD128" i="25"/>
  <c r="AE128" i="25" s="1"/>
  <c r="AD115" i="25"/>
  <c r="AE115" i="25" s="1"/>
  <c r="W115" i="25"/>
  <c r="Z115" i="25" s="1"/>
  <c r="AA115" i="25" s="1"/>
  <c r="AB115" i="25" s="1"/>
  <c r="V99" i="25"/>
  <c r="U99" i="25"/>
  <c r="V95" i="25"/>
  <c r="U95" i="25"/>
  <c r="AD269" i="25"/>
  <c r="AE269" i="25" s="1"/>
  <c r="W269" i="25"/>
  <c r="Z269" i="25" s="1"/>
  <c r="AA269" i="25" s="1"/>
  <c r="AB269" i="25" s="1"/>
  <c r="V25" i="25"/>
  <c r="U25" i="25"/>
  <c r="AD288" i="25"/>
  <c r="AE288" i="25" s="1"/>
  <c r="W288" i="25"/>
  <c r="Z288" i="25" s="1"/>
  <c r="AA288" i="25" s="1"/>
  <c r="AB288" i="25" s="1"/>
  <c r="AO261" i="25"/>
  <c r="U174" i="25"/>
  <c r="V174" i="25"/>
  <c r="W38" i="25"/>
  <c r="Z38" i="25" s="1"/>
  <c r="AA38" i="25" s="1"/>
  <c r="AB38" i="25" s="1"/>
  <c r="AD38" i="25"/>
  <c r="AE38" i="25" s="1"/>
  <c r="V18" i="25"/>
  <c r="U18" i="25"/>
  <c r="AD224" i="25"/>
  <c r="AE224" i="25" s="1"/>
  <c r="W224" i="25"/>
  <c r="Z224" i="25" s="1"/>
  <c r="AA224" i="25" s="1"/>
  <c r="AB224" i="25" s="1"/>
  <c r="V199" i="25"/>
  <c r="U199" i="25"/>
  <c r="V151" i="25"/>
  <c r="U151" i="25"/>
  <c r="AD73" i="25"/>
  <c r="AE73" i="25" s="1"/>
  <c r="W73" i="25"/>
  <c r="Z73" i="25" s="1"/>
  <c r="AA73" i="25" s="1"/>
  <c r="AB73" i="25" s="1"/>
  <c r="AO146" i="25"/>
  <c r="AO184" i="25"/>
  <c r="AO168" i="25"/>
  <c r="AO152" i="25"/>
  <c r="AO136" i="25"/>
  <c r="V115" i="25"/>
  <c r="U115" i="25"/>
  <c r="AO103" i="25"/>
  <c r="AO99" i="25"/>
  <c r="AO95" i="25"/>
  <c r="AO91" i="25"/>
  <c r="AO269" i="25"/>
  <c r="U218" i="25"/>
  <c r="V218" i="25"/>
  <c r="AD114" i="25"/>
  <c r="AE114" i="25" s="1"/>
  <c r="W114" i="25"/>
  <c r="Z114" i="25" s="1"/>
  <c r="AA114" i="25" s="1"/>
  <c r="AB114" i="25" s="1"/>
  <c r="V114" i="25"/>
  <c r="U114" i="25"/>
  <c r="U125" i="25"/>
  <c r="V125" i="25"/>
  <c r="AD77" i="25"/>
  <c r="AE77" i="25" s="1"/>
  <c r="W77" i="25"/>
  <c r="Z77" i="25" s="1"/>
  <c r="AA77" i="25" s="1"/>
  <c r="AB77" i="25" s="1"/>
  <c r="AD57" i="25"/>
  <c r="AE57" i="25" s="1"/>
  <c r="W57" i="25"/>
  <c r="Z57" i="25" s="1"/>
  <c r="AA57" i="25" s="1"/>
  <c r="AB57" i="25" s="1"/>
  <c r="AD25" i="25"/>
  <c r="AE25" i="25" s="1"/>
  <c r="W25" i="25"/>
  <c r="Z25" i="25" s="1"/>
  <c r="AA25" i="25" s="1"/>
  <c r="AB25" i="25" s="1"/>
  <c r="W10" i="25"/>
  <c r="Z10" i="25" s="1"/>
  <c r="AA10" i="25" s="1"/>
  <c r="AB10" i="25" s="1"/>
  <c r="AD10" i="25"/>
  <c r="AE10" i="25" s="1"/>
  <c r="U10" i="25"/>
  <c r="V10" i="25"/>
  <c r="W6" i="25"/>
  <c r="Z6" i="25" s="1"/>
  <c r="AA6" i="25" s="1"/>
  <c r="AB6" i="25" s="1"/>
  <c r="AD6" i="25"/>
  <c r="AE6" i="25" s="1"/>
  <c r="AD112" i="25"/>
  <c r="AE112" i="25" s="1"/>
  <c r="W112" i="25"/>
  <c r="Z112" i="25" s="1"/>
  <c r="AA112" i="25" s="1"/>
  <c r="AO112" i="25"/>
  <c r="V78" i="25"/>
  <c r="U78" i="25"/>
  <c r="V80" i="25"/>
  <c r="U80" i="25"/>
  <c r="V42" i="25"/>
  <c r="U42" i="25"/>
  <c r="V35" i="25"/>
  <c r="U35" i="25"/>
  <c r="V22" i="25"/>
  <c r="U22" i="25"/>
  <c r="V306" i="25"/>
  <c r="U306" i="25"/>
  <c r="V301" i="25"/>
  <c r="U301" i="25"/>
  <c r="AD305" i="25"/>
  <c r="AE305" i="25" s="1"/>
  <c r="W305" i="25"/>
  <c r="Z305" i="25" s="1"/>
  <c r="AA305" i="25" s="1"/>
  <c r="U281" i="25"/>
  <c r="V281" i="25"/>
  <c r="AD272" i="25"/>
  <c r="AE272" i="25" s="1"/>
  <c r="W272" i="25"/>
  <c r="Z272" i="25" s="1"/>
  <c r="AA272" i="25" s="1"/>
  <c r="AB272" i="25" s="1"/>
  <c r="AO272" i="25"/>
  <c r="AO208" i="25"/>
  <c r="U242" i="25"/>
  <c r="V242" i="25"/>
  <c r="AD203" i="25"/>
  <c r="AE203" i="25" s="1"/>
  <c r="W203" i="25"/>
  <c r="Z203" i="25" s="1"/>
  <c r="AA203" i="25" s="1"/>
  <c r="AB203" i="25" s="1"/>
  <c r="U203" i="25"/>
  <c r="V203" i="25"/>
  <c r="AO209" i="25"/>
  <c r="V139" i="25"/>
  <c r="U139" i="25"/>
  <c r="AO278" i="25"/>
  <c r="U243" i="25"/>
  <c r="V243" i="25"/>
  <c r="AD221" i="25"/>
  <c r="AE221" i="25" s="1"/>
  <c r="W221" i="25"/>
  <c r="Z221" i="25" s="1"/>
  <c r="AA221" i="25" s="1"/>
  <c r="AO221" i="25"/>
  <c r="AO174" i="25"/>
  <c r="AO181" i="25"/>
  <c r="AO149" i="25"/>
  <c r="U231" i="25"/>
  <c r="V231" i="25"/>
  <c r="AD126" i="25"/>
  <c r="AE126" i="25" s="1"/>
  <c r="W126" i="25"/>
  <c r="Z126" i="25" s="1"/>
  <c r="AA126" i="25" s="1"/>
  <c r="AB126" i="25" s="1"/>
  <c r="V126" i="25"/>
  <c r="U126" i="25"/>
  <c r="AO59" i="25"/>
  <c r="AO117" i="25"/>
  <c r="U9" i="25"/>
  <c r="V9" i="25"/>
  <c r="V54" i="25"/>
  <c r="U54" i="25"/>
  <c r="AO53" i="25"/>
  <c r="V315" i="25"/>
  <c r="U315" i="25"/>
  <c r="V300" i="25"/>
  <c r="U300" i="25"/>
  <c r="AD284" i="25"/>
  <c r="AE284" i="25" s="1"/>
  <c r="W284" i="25"/>
  <c r="Z284" i="25" s="1"/>
  <c r="AA284" i="25" s="1"/>
  <c r="AB284" i="25" s="1"/>
  <c r="U284" i="25"/>
  <c r="V284" i="25"/>
  <c r="AD241" i="25"/>
  <c r="AE241" i="25" s="1"/>
  <c r="W241" i="25"/>
  <c r="Z241" i="25" s="1"/>
  <c r="AA241" i="25" s="1"/>
  <c r="AB241" i="25" s="1"/>
  <c r="AD308" i="25"/>
  <c r="AE308" i="25" s="1"/>
  <c r="W308" i="25"/>
  <c r="Z308" i="25" s="1"/>
  <c r="AA308" i="25" s="1"/>
  <c r="AB308" i="25" s="1"/>
  <c r="U224" i="25"/>
  <c r="V224" i="25"/>
  <c r="AD183" i="25"/>
  <c r="AE183" i="25" s="1"/>
  <c r="W183" i="25"/>
  <c r="Z183" i="25" s="1"/>
  <c r="AA183" i="25" s="1"/>
  <c r="AB183" i="25" s="1"/>
  <c r="AD256" i="25"/>
  <c r="AE256" i="25" s="1"/>
  <c r="W256" i="25"/>
  <c r="Z256" i="25" s="1"/>
  <c r="AA256" i="25" s="1"/>
  <c r="AB256" i="25" s="1"/>
  <c r="AO240" i="25"/>
  <c r="U222" i="25"/>
  <c r="V222" i="25"/>
  <c r="AD89" i="25"/>
  <c r="AE89" i="25" s="1"/>
  <c r="W89" i="25"/>
  <c r="Z89" i="25" s="1"/>
  <c r="AA89" i="25" s="1"/>
  <c r="AB89" i="25" s="1"/>
  <c r="AO37" i="25"/>
  <c r="W14" i="25"/>
  <c r="Z14" i="25" s="1"/>
  <c r="AA14" i="25" s="1"/>
  <c r="AB14" i="25" s="1"/>
  <c r="AD14" i="25"/>
  <c r="AE14" i="25" s="1"/>
  <c r="U141" i="25"/>
  <c r="V141" i="25"/>
  <c r="AD98" i="25"/>
  <c r="AE98" i="25" s="1"/>
  <c r="W98" i="25"/>
  <c r="Z98" i="25" s="1"/>
  <c r="AA98" i="25" s="1"/>
  <c r="AB98" i="25" s="1"/>
  <c r="AO124" i="25"/>
  <c r="AO144" i="25"/>
  <c r="AO128" i="25"/>
  <c r="V269" i="25"/>
  <c r="U269" i="25"/>
  <c r="AD226" i="25"/>
  <c r="AE226" i="25" s="1"/>
  <c r="W226" i="25"/>
  <c r="Z226" i="25" s="1"/>
  <c r="AA226" i="25" s="1"/>
  <c r="AO226" i="25"/>
  <c r="AD79" i="25"/>
  <c r="AE79" i="25" s="1"/>
  <c r="W79" i="25"/>
  <c r="Z79" i="25" s="1"/>
  <c r="AA79" i="25" s="1"/>
  <c r="AB79" i="25" s="1"/>
  <c r="AO79" i="25"/>
  <c r="W63" i="25"/>
  <c r="Z63" i="25" s="1"/>
  <c r="AA63" i="25" s="1"/>
  <c r="AB63" i="25" s="1"/>
  <c r="AD63" i="25"/>
  <c r="AE63" i="25" s="1"/>
  <c r="V63" i="25"/>
  <c r="U63" i="25"/>
  <c r="W47" i="25"/>
  <c r="Z47" i="25" s="1"/>
  <c r="AA47" i="25" s="1"/>
  <c r="AB47" i="25" s="1"/>
  <c r="AD47" i="25"/>
  <c r="AE47" i="25" s="1"/>
  <c r="V47" i="25"/>
  <c r="U47" i="25"/>
  <c r="W27" i="25"/>
  <c r="Z27" i="25" s="1"/>
  <c r="AA27" i="25" s="1"/>
  <c r="AB27" i="25" s="1"/>
  <c r="AD27" i="25"/>
  <c r="AE27" i="25" s="1"/>
  <c r="V27" i="25"/>
  <c r="U27" i="25"/>
  <c r="AD125" i="25"/>
  <c r="AE125" i="25" s="1"/>
  <c r="W125" i="25"/>
  <c r="Z125" i="25" s="1"/>
  <c r="AA125" i="25" s="1"/>
  <c r="AO77" i="25"/>
  <c r="AO57" i="25"/>
  <c r="AO25" i="25"/>
  <c r="AO6" i="25"/>
  <c r="V112" i="25"/>
  <c r="U112" i="25"/>
  <c r="W78" i="25"/>
  <c r="Z78" i="25" s="1"/>
  <c r="AA78" i="25" s="1"/>
  <c r="AB78" i="25" s="1"/>
  <c r="AD78" i="25"/>
  <c r="AE78" i="25" s="1"/>
  <c r="W62" i="25"/>
  <c r="Z62" i="25" s="1"/>
  <c r="AA62" i="25" s="1"/>
  <c r="AB62" i="25" s="1"/>
  <c r="AD62" i="25"/>
  <c r="AE62" i="25" s="1"/>
  <c r="W80" i="25"/>
  <c r="Z80" i="25" s="1"/>
  <c r="AA80" i="25" s="1"/>
  <c r="AB80" i="25" s="1"/>
  <c r="AD80" i="25"/>
  <c r="AE80" i="25" s="1"/>
  <c r="W64" i="25"/>
  <c r="Z64" i="25" s="1"/>
  <c r="AA64" i="25" s="1"/>
  <c r="AB64" i="25" s="1"/>
  <c r="AD64" i="25"/>
  <c r="AE64" i="25" s="1"/>
  <c r="W48" i="25"/>
  <c r="Z48" i="25" s="1"/>
  <c r="AA48" i="25" s="1"/>
  <c r="AB48" i="25" s="1"/>
  <c r="AD48" i="25"/>
  <c r="AE48" i="25" s="1"/>
  <c r="V48" i="25"/>
  <c r="U48" i="25"/>
  <c r="AD28" i="25"/>
  <c r="AE28" i="25" s="1"/>
  <c r="W28" i="25"/>
  <c r="Z28" i="25" s="1"/>
  <c r="AA28" i="25" s="1"/>
  <c r="AB28" i="25" s="1"/>
  <c r="W12" i="25"/>
  <c r="Z12" i="25" s="1"/>
  <c r="AA12" i="25" s="1"/>
  <c r="AB12" i="25" s="1"/>
  <c r="AD12" i="25"/>
  <c r="AE12" i="25" s="1"/>
  <c r="AD69" i="25"/>
  <c r="AE69" i="25" s="1"/>
  <c r="W69" i="25"/>
  <c r="Z69" i="25" s="1"/>
  <c r="AA69" i="25" s="1"/>
  <c r="AB69" i="25" s="1"/>
  <c r="AD21" i="25"/>
  <c r="AE21" i="25" s="1"/>
  <c r="W21" i="25"/>
  <c r="Z21" i="25" s="1"/>
  <c r="AA21" i="25" s="1"/>
  <c r="AB21" i="25" s="1"/>
  <c r="W42" i="25"/>
  <c r="Z42" i="25" s="1"/>
  <c r="AA42" i="25" s="1"/>
  <c r="AB42" i="25" s="1"/>
  <c r="AD42" i="25"/>
  <c r="AE42" i="25" s="1"/>
  <c r="W35" i="25"/>
  <c r="Z35" i="25" s="1"/>
  <c r="AA35" i="25" s="1"/>
  <c r="AB35" i="25" s="1"/>
  <c r="AD35" i="25"/>
  <c r="AE35" i="25" s="1"/>
  <c r="AO35" i="25"/>
  <c r="W22" i="25"/>
  <c r="Z22" i="25" s="1"/>
  <c r="AA22" i="25" s="1"/>
  <c r="AB22" i="25" s="1"/>
  <c r="AD22" i="25"/>
  <c r="AE22" i="25" s="1"/>
  <c r="AD306" i="25"/>
  <c r="AE306" i="25" s="1"/>
  <c r="W306" i="25"/>
  <c r="Z306" i="25" s="1"/>
  <c r="AA306" i="25" s="1"/>
  <c r="AB306" i="25" s="1"/>
  <c r="V305" i="25"/>
  <c r="U305" i="25"/>
  <c r="AO305" i="25"/>
  <c r="U288" i="25"/>
  <c r="V288" i="25"/>
  <c r="AD297" i="25"/>
  <c r="AE297" i="25" s="1"/>
  <c r="W297" i="25"/>
  <c r="Z297" i="25" s="1"/>
  <c r="AA297" i="25" s="1"/>
  <c r="AO297" i="25"/>
  <c r="U261" i="25"/>
  <c r="V261" i="25"/>
  <c r="AD245" i="25"/>
  <c r="AE245" i="25" s="1"/>
  <c r="W245" i="25"/>
  <c r="Z245" i="25" s="1"/>
  <c r="AA245" i="25" s="1"/>
  <c r="AO245" i="25"/>
  <c r="V208" i="25"/>
  <c r="U208" i="25"/>
  <c r="U291" i="25"/>
  <c r="V291" i="25"/>
  <c r="AD258" i="25"/>
  <c r="AE258" i="25" s="1"/>
  <c r="W258" i="25"/>
  <c r="Z258" i="25" s="1"/>
  <c r="AA258" i="25" s="1"/>
  <c r="AO258" i="25"/>
  <c r="AD228" i="25"/>
  <c r="AE228" i="25" s="1"/>
  <c r="W228" i="25"/>
  <c r="Z228" i="25" s="1"/>
  <c r="AA228" i="25" s="1"/>
  <c r="AO228" i="25"/>
  <c r="V209" i="25"/>
  <c r="U209" i="25"/>
  <c r="V171" i="25"/>
  <c r="U171" i="25"/>
  <c r="AD259" i="25"/>
  <c r="AE259" i="25" s="1"/>
  <c r="W259" i="25"/>
  <c r="Z259" i="25" s="1"/>
  <c r="AA259" i="25" s="1"/>
  <c r="AO259" i="25"/>
  <c r="AO142" i="25"/>
  <c r="AO189" i="25"/>
  <c r="AO165" i="25"/>
  <c r="AO127" i="25"/>
  <c r="AD295" i="25"/>
  <c r="AE295" i="25" s="1"/>
  <c r="W295" i="25"/>
  <c r="Z295" i="25" s="1"/>
  <c r="AA295" i="25" s="1"/>
  <c r="AO295" i="25"/>
  <c r="V49" i="25"/>
  <c r="U49" i="25"/>
  <c r="AO90" i="25"/>
  <c r="V60" i="25"/>
  <c r="U60" i="25"/>
  <c r="AO60" i="25"/>
  <c r="V24" i="25"/>
  <c r="U24" i="25"/>
  <c r="AO24" i="25"/>
  <c r="AO38" i="25"/>
  <c r="AO304" i="25"/>
  <c r="AO315" i="25"/>
  <c r="AO257" i="25"/>
  <c r="U206" i="25"/>
  <c r="V206" i="25"/>
  <c r="W274" i="25"/>
  <c r="Z274" i="25" s="1"/>
  <c r="AA274" i="25" s="1"/>
  <c r="AB274" i="25" s="1"/>
  <c r="AD274" i="25"/>
  <c r="AE274" i="25" s="1"/>
  <c r="U232" i="25"/>
  <c r="V232" i="25"/>
  <c r="V39" i="25"/>
  <c r="U39" i="25"/>
  <c r="V70" i="25"/>
  <c r="U70" i="25"/>
  <c r="W40" i="25"/>
  <c r="Z40" i="25" s="1"/>
  <c r="AA40" i="25" s="1"/>
  <c r="AB40" i="25" s="1"/>
  <c r="AD40" i="25"/>
  <c r="AE40" i="25" s="1"/>
  <c r="AD158" i="25"/>
  <c r="AE158" i="25" s="1"/>
  <c r="W158" i="25"/>
  <c r="Z158" i="25" s="1"/>
  <c r="AA158" i="25" s="1"/>
  <c r="AB158" i="25" s="1"/>
  <c r="AD157" i="25"/>
  <c r="AE157" i="25" s="1"/>
  <c r="W157" i="25"/>
  <c r="Z157" i="25" s="1"/>
  <c r="AA157" i="25" s="1"/>
  <c r="AB157" i="25" s="1"/>
  <c r="V43" i="25"/>
  <c r="U43" i="25"/>
  <c r="W44" i="25"/>
  <c r="Z44" i="25" s="1"/>
  <c r="AA44" i="25" s="1"/>
  <c r="AB44" i="25" s="1"/>
  <c r="AD44" i="25"/>
  <c r="AE44" i="25" s="1"/>
  <c r="U226" i="25"/>
  <c r="V226" i="25"/>
  <c r="AD218" i="25"/>
  <c r="AE218" i="25" s="1"/>
  <c r="W218" i="25"/>
  <c r="Z218" i="25" s="1"/>
  <c r="AA218" i="25" s="1"/>
  <c r="AO218" i="25"/>
  <c r="AO114" i="25"/>
  <c r="V79" i="25"/>
  <c r="U79" i="25"/>
  <c r="AO47" i="25"/>
  <c r="AO27" i="25"/>
  <c r="AO125" i="25"/>
  <c r="AO10" i="25"/>
  <c r="U6" i="25"/>
  <c r="V6" i="25"/>
  <c r="AO78" i="25"/>
  <c r="AO62" i="25"/>
  <c r="AO80" i="25"/>
  <c r="AO64" i="25"/>
  <c r="AO48" i="25"/>
  <c r="V28" i="25"/>
  <c r="U28" i="25"/>
  <c r="AO28" i="25"/>
  <c r="V12" i="25"/>
  <c r="U12" i="25"/>
  <c r="AO12" i="25"/>
  <c r="AO69" i="25"/>
  <c r="V69" i="25"/>
  <c r="U69" i="25"/>
  <c r="AO21" i="25"/>
  <c r="V21" i="25"/>
  <c r="U21" i="25"/>
  <c r="AO42" i="25"/>
  <c r="AO22" i="25"/>
  <c r="AO306" i="25"/>
  <c r="AD301" i="25"/>
  <c r="AE301" i="25" s="1"/>
  <c r="W301" i="25"/>
  <c r="Z301" i="25" s="1"/>
  <c r="AA301" i="25" s="1"/>
  <c r="AO301" i="25"/>
  <c r="U297" i="25"/>
  <c r="V297" i="25"/>
  <c r="AD281" i="25"/>
  <c r="AE281" i="25" s="1"/>
  <c r="W281" i="25"/>
  <c r="Z281" i="25" s="1"/>
  <c r="AA281" i="25" s="1"/>
  <c r="AO281" i="25"/>
  <c r="U245" i="25"/>
  <c r="V245" i="25"/>
  <c r="AD208" i="25"/>
  <c r="AE208" i="25" s="1"/>
  <c r="W208" i="25"/>
  <c r="Z208" i="25" s="1"/>
  <c r="AA208" i="25" s="1"/>
  <c r="U258" i="25"/>
  <c r="V258" i="25"/>
  <c r="AD242" i="25"/>
  <c r="AE242" i="25" s="1"/>
  <c r="W242" i="25"/>
  <c r="Z242" i="25" s="1"/>
  <c r="AA242" i="25" s="1"/>
  <c r="AO242" i="25"/>
  <c r="AO203" i="25"/>
  <c r="U228" i="25"/>
  <c r="V228" i="25"/>
  <c r="W209" i="25"/>
  <c r="Z209" i="25" s="1"/>
  <c r="AA209" i="25" s="1"/>
  <c r="AB209" i="25" s="1"/>
  <c r="AD209" i="25"/>
  <c r="AE209" i="25" s="1"/>
  <c r="AO171" i="25"/>
  <c r="AD139" i="25"/>
  <c r="AE139" i="25" s="1"/>
  <c r="W139" i="25"/>
  <c r="Z139" i="25" s="1"/>
  <c r="AA139" i="25" s="1"/>
  <c r="U259" i="25"/>
  <c r="V259" i="25"/>
  <c r="AD243" i="25"/>
  <c r="AE243" i="25" s="1"/>
  <c r="W243" i="25"/>
  <c r="Z243" i="25" s="1"/>
  <c r="AA243" i="25" s="1"/>
  <c r="AO243" i="25"/>
  <c r="AD142" i="25"/>
  <c r="AE142" i="25" s="1"/>
  <c r="W142" i="25"/>
  <c r="Z142" i="25" s="1"/>
  <c r="AA142" i="25" s="1"/>
  <c r="AB142" i="25" s="1"/>
  <c r="U142" i="25"/>
  <c r="V142" i="25"/>
  <c r="U189" i="25"/>
  <c r="V189" i="25"/>
  <c r="AD181" i="25"/>
  <c r="AE181" i="25" s="1"/>
  <c r="W181" i="25"/>
  <c r="Z181" i="25" s="1"/>
  <c r="AA181" i="25" s="1"/>
  <c r="U165" i="25"/>
  <c r="V165" i="25"/>
  <c r="AD149" i="25"/>
  <c r="AE149" i="25" s="1"/>
  <c r="W149" i="25"/>
  <c r="Z149" i="25" s="1"/>
  <c r="AA149" i="25" s="1"/>
  <c r="V127" i="25"/>
  <c r="U127" i="25"/>
  <c r="AD102" i="25"/>
  <c r="AE102" i="25" s="1"/>
  <c r="W102" i="25"/>
  <c r="Z102" i="25" s="1"/>
  <c r="AA102" i="25" s="1"/>
  <c r="AB102" i="25" s="1"/>
  <c r="AO102" i="25"/>
  <c r="AD94" i="25"/>
  <c r="AE94" i="25" s="1"/>
  <c r="W94" i="25"/>
  <c r="Z94" i="25" s="1"/>
  <c r="AA94" i="25" s="1"/>
  <c r="AB94" i="25" s="1"/>
  <c r="AO94" i="25"/>
  <c r="AD231" i="25"/>
  <c r="AE231" i="25" s="1"/>
  <c r="W231" i="25"/>
  <c r="Z231" i="25" s="1"/>
  <c r="AA231" i="25" s="1"/>
  <c r="AO231" i="25"/>
  <c r="AO126" i="25"/>
  <c r="U295" i="25"/>
  <c r="V295" i="25"/>
  <c r="W59" i="25"/>
  <c r="Z59" i="25" s="1"/>
  <c r="AA59" i="25" s="1"/>
  <c r="AB59" i="25" s="1"/>
  <c r="AD59" i="25"/>
  <c r="AE59" i="25" s="1"/>
  <c r="V59" i="25"/>
  <c r="U59" i="25"/>
  <c r="AD117" i="25"/>
  <c r="AE117" i="25" s="1"/>
  <c r="W117" i="25"/>
  <c r="Z117" i="25" s="1"/>
  <c r="AA117" i="25" s="1"/>
  <c r="AO49" i="25"/>
  <c r="AO9" i="25"/>
  <c r="V90" i="25"/>
  <c r="U90" i="25"/>
  <c r="AO54" i="25"/>
  <c r="AD53" i="25"/>
  <c r="AE53" i="25" s="1"/>
  <c r="W53" i="25"/>
  <c r="Z53" i="25" s="1"/>
  <c r="AA53" i="25" s="1"/>
  <c r="AB53" i="25" s="1"/>
  <c r="V53" i="25"/>
  <c r="U53" i="25"/>
  <c r="W18" i="25"/>
  <c r="Z18" i="25" s="1"/>
  <c r="AA18" i="25" s="1"/>
  <c r="AB18" i="25" s="1"/>
  <c r="AD18" i="25"/>
  <c r="AE18" i="25" s="1"/>
  <c r="AO18" i="25"/>
  <c r="U293" i="25"/>
  <c r="V293" i="25"/>
  <c r="AO279" i="25"/>
  <c r="AD283" i="25"/>
  <c r="AE283" i="25" s="1"/>
  <c r="W283" i="25"/>
  <c r="Z283" i="25" s="1"/>
  <c r="AA283" i="25" s="1"/>
  <c r="AB283" i="25" s="1"/>
  <c r="AD254" i="25"/>
  <c r="AE254" i="25" s="1"/>
  <c r="W254" i="25"/>
  <c r="Z254" i="25" s="1"/>
  <c r="AA254" i="25" s="1"/>
  <c r="AB254" i="25" s="1"/>
  <c r="AO154" i="25"/>
  <c r="V156" i="25"/>
  <c r="U156" i="25"/>
  <c r="AD87" i="25"/>
  <c r="AE87" i="25" s="1"/>
  <c r="W87" i="25"/>
  <c r="Z87" i="25" s="1"/>
  <c r="AA87" i="25" s="1"/>
  <c r="AB87" i="25" s="1"/>
  <c r="AD19" i="25"/>
  <c r="AE19" i="25" s="1"/>
  <c r="W19" i="25"/>
  <c r="Z19" i="25" s="1"/>
  <c r="AA19" i="25" s="1"/>
  <c r="AB19" i="25" s="1"/>
  <c r="W50" i="25"/>
  <c r="Z50" i="25" s="1"/>
  <c r="AA50" i="25" s="1"/>
  <c r="AB50" i="25" s="1"/>
  <c r="AD50" i="25"/>
  <c r="AE50" i="25" s="1"/>
  <c r="AD251" i="25"/>
  <c r="AE251" i="25" s="1"/>
  <c r="W251" i="25"/>
  <c r="Z251" i="25" s="1"/>
  <c r="AA251" i="25" s="1"/>
  <c r="AB251" i="25" s="1"/>
  <c r="U235" i="25"/>
  <c r="V235" i="25"/>
  <c r="W74" i="25"/>
  <c r="Z74" i="25" s="1"/>
  <c r="AA74" i="25" s="1"/>
  <c r="AB74" i="25" s="1"/>
  <c r="AD74" i="25"/>
  <c r="AE74" i="25" s="1"/>
  <c r="V34" i="25"/>
  <c r="U34" i="25"/>
  <c r="AD304" i="25"/>
  <c r="AE304" i="25" s="1"/>
  <c r="W304" i="25"/>
  <c r="Z304" i="25" s="1"/>
  <c r="AA304" i="25" s="1"/>
  <c r="AD315" i="25"/>
  <c r="AE315" i="25" s="1"/>
  <c r="W315" i="25"/>
  <c r="Z315" i="25" s="1"/>
  <c r="AA315" i="25" s="1"/>
  <c r="AB315" i="25" s="1"/>
  <c r="AO300" i="25"/>
  <c r="AO309" i="25"/>
  <c r="AO241" i="25"/>
  <c r="V204" i="25"/>
  <c r="U204" i="25"/>
  <c r="AO254" i="25"/>
  <c r="AO224" i="25"/>
  <c r="AD206" i="25"/>
  <c r="AE206" i="25" s="1"/>
  <c r="W206" i="25"/>
  <c r="Z206" i="25" s="1"/>
  <c r="AA206" i="25" s="1"/>
  <c r="AD167" i="25"/>
  <c r="AE167" i="25" s="1"/>
  <c r="W167" i="25"/>
  <c r="Z167" i="25" s="1"/>
  <c r="AA167" i="25" s="1"/>
  <c r="AB167" i="25" s="1"/>
  <c r="V135" i="25"/>
  <c r="U135" i="25"/>
  <c r="V274" i="25"/>
  <c r="U274" i="25"/>
  <c r="AO256" i="25"/>
  <c r="U248" i="25"/>
  <c r="V248" i="25"/>
  <c r="AO170" i="25"/>
  <c r="V180" i="25"/>
  <c r="U180" i="25"/>
  <c r="V148" i="25"/>
  <c r="U148" i="25"/>
  <c r="V123" i="25"/>
  <c r="U123" i="25"/>
  <c r="AO230" i="25"/>
  <c r="V122" i="25"/>
  <c r="U122" i="25"/>
  <c r="AO87" i="25"/>
  <c r="U113" i="25"/>
  <c r="V113" i="25"/>
  <c r="AD33" i="25"/>
  <c r="AE33" i="25" s="1"/>
  <c r="W33" i="25"/>
  <c r="Z33" i="25" s="1"/>
  <c r="AA33" i="25" s="1"/>
  <c r="AB33" i="25" s="1"/>
  <c r="AD120" i="25"/>
  <c r="AE120" i="25" s="1"/>
  <c r="W120" i="25"/>
  <c r="Z120" i="25" s="1"/>
  <c r="AA120" i="25" s="1"/>
  <c r="AB120" i="25" s="1"/>
  <c r="W70" i="25"/>
  <c r="Z70" i="25" s="1"/>
  <c r="AA70" i="25" s="1"/>
  <c r="AB70" i="25" s="1"/>
  <c r="AD70" i="25"/>
  <c r="AE70" i="25" s="1"/>
  <c r="AD72" i="25"/>
  <c r="AE72" i="25" s="1"/>
  <c r="W72" i="25"/>
  <c r="Z72" i="25" s="1"/>
  <c r="AA72" i="25" s="1"/>
  <c r="AB72" i="25" s="1"/>
  <c r="V37" i="25"/>
  <c r="U37" i="25"/>
  <c r="V30" i="25"/>
  <c r="U30" i="25"/>
  <c r="AO14" i="25"/>
  <c r="V187" i="25"/>
  <c r="U187" i="25"/>
  <c r="V155" i="25"/>
  <c r="U155" i="25"/>
  <c r="AO251" i="25"/>
  <c r="U190" i="25"/>
  <c r="V190" i="25"/>
  <c r="U197" i="25"/>
  <c r="V197" i="25"/>
  <c r="AD141" i="25"/>
  <c r="AE141" i="25" s="1"/>
  <c r="W141" i="25"/>
  <c r="Z141" i="25" s="1"/>
  <c r="AA141" i="25" s="1"/>
  <c r="U133" i="25"/>
  <c r="V133" i="25"/>
  <c r="AO111" i="25"/>
  <c r="AO75" i="25"/>
  <c r="W23" i="25"/>
  <c r="Z23" i="25" s="1"/>
  <c r="AA23" i="25" s="1"/>
  <c r="AB23" i="25" s="1"/>
  <c r="AD23" i="25"/>
  <c r="AE23" i="25" s="1"/>
  <c r="U121" i="25"/>
  <c r="V121" i="25"/>
  <c r="W34" i="25"/>
  <c r="Z34" i="25" s="1"/>
  <c r="AA34" i="25" s="1"/>
  <c r="AB34" i="25" s="1"/>
  <c r="AD34" i="25"/>
  <c r="AE34" i="25" s="1"/>
  <c r="AO284" i="25"/>
  <c r="AD293" i="25"/>
  <c r="AE293" i="25" s="1"/>
  <c r="W293" i="25"/>
  <c r="Z293" i="25" s="1"/>
  <c r="AA293" i="25" s="1"/>
  <c r="AO293" i="25"/>
  <c r="W279" i="25"/>
  <c r="Z279" i="25" s="1"/>
  <c r="AA279" i="25" s="1"/>
  <c r="AB279" i="25" s="1"/>
  <c r="AD279" i="25"/>
  <c r="AE279" i="25" s="1"/>
  <c r="AO294" i="25"/>
  <c r="AD257" i="25"/>
  <c r="AE257" i="25" s="1"/>
  <c r="W257" i="25"/>
  <c r="Z257" i="25" s="1"/>
  <c r="AA257" i="25" s="1"/>
  <c r="AB257" i="25" s="1"/>
  <c r="U257" i="25"/>
  <c r="V257" i="25"/>
  <c r="AO204" i="25"/>
  <c r="U283" i="25"/>
  <c r="V283" i="25"/>
  <c r="U238" i="25"/>
  <c r="V238" i="25"/>
  <c r="V308" i="25"/>
  <c r="U308" i="25"/>
  <c r="V167" i="25"/>
  <c r="U167" i="25"/>
  <c r="AD135" i="25"/>
  <c r="AE135" i="25" s="1"/>
  <c r="W135" i="25"/>
  <c r="Z135" i="25" s="1"/>
  <c r="AA135" i="25" s="1"/>
  <c r="AB135" i="25" s="1"/>
  <c r="AD240" i="25"/>
  <c r="AE240" i="25" s="1"/>
  <c r="W240" i="25"/>
  <c r="Z240" i="25" s="1"/>
  <c r="AA240" i="25" s="1"/>
  <c r="AB240" i="25" s="1"/>
  <c r="AO138" i="25"/>
  <c r="V196" i="25"/>
  <c r="U196" i="25"/>
  <c r="V164" i="25"/>
  <c r="U164" i="25"/>
  <c r="V132" i="25"/>
  <c r="U132" i="25"/>
  <c r="AO105" i="25"/>
  <c r="AO101" i="25"/>
  <c r="AO97" i="25"/>
  <c r="AO93" i="25"/>
  <c r="AO277" i="25"/>
  <c r="AD230" i="25"/>
  <c r="AE230" i="25" s="1"/>
  <c r="W230" i="25"/>
  <c r="Z230" i="25" s="1"/>
  <c r="AA230" i="25" s="1"/>
  <c r="AB230" i="25" s="1"/>
  <c r="AD71" i="25"/>
  <c r="AE71" i="25" s="1"/>
  <c r="W71" i="25"/>
  <c r="Z71" i="25" s="1"/>
  <c r="AA71" i="25" s="1"/>
  <c r="AB71" i="25" s="1"/>
  <c r="V55" i="25"/>
  <c r="U55" i="25"/>
  <c r="V19" i="25"/>
  <c r="U19" i="25"/>
  <c r="AD65" i="25"/>
  <c r="AE65" i="25" s="1"/>
  <c r="W65" i="25"/>
  <c r="Z65" i="25" s="1"/>
  <c r="AA65" i="25" s="1"/>
  <c r="AB65" i="25" s="1"/>
  <c r="AD13" i="25"/>
  <c r="AE13" i="25" s="1"/>
  <c r="W13" i="25"/>
  <c r="Z13" i="25" s="1"/>
  <c r="AA13" i="25" s="1"/>
  <c r="AB13" i="25" s="1"/>
  <c r="AO120" i="25"/>
  <c r="W86" i="25"/>
  <c r="Z86" i="25" s="1"/>
  <c r="AA86" i="25" s="1"/>
  <c r="AB86" i="25" s="1"/>
  <c r="AD86" i="25"/>
  <c r="AE86" i="25" s="1"/>
  <c r="W88" i="25"/>
  <c r="Z88" i="25" s="1"/>
  <c r="AA88" i="25" s="1"/>
  <c r="AB88" i="25" s="1"/>
  <c r="AD88" i="25"/>
  <c r="AE88" i="25" s="1"/>
  <c r="W56" i="25"/>
  <c r="Z56" i="25" s="1"/>
  <c r="AA56" i="25" s="1"/>
  <c r="AB56" i="25" s="1"/>
  <c r="AD56" i="25"/>
  <c r="AE56" i="25" s="1"/>
  <c r="V50" i="25"/>
  <c r="U50" i="25"/>
  <c r="AD316" i="25"/>
  <c r="AE316" i="25" s="1"/>
  <c r="W316" i="25"/>
  <c r="Z316" i="25" s="1"/>
  <c r="AA316" i="25" s="1"/>
  <c r="AB316" i="25" s="1"/>
  <c r="AO201" i="25"/>
  <c r="U158" i="25"/>
  <c r="V158" i="25"/>
  <c r="AD173" i="25"/>
  <c r="AE173" i="25" s="1"/>
  <c r="W173" i="25"/>
  <c r="Z173" i="25" s="1"/>
  <c r="AA173" i="25" s="1"/>
  <c r="AB173" i="25" s="1"/>
  <c r="U157" i="25"/>
  <c r="V157" i="25"/>
  <c r="AD111" i="25"/>
  <c r="AE111" i="25" s="1"/>
  <c r="W111" i="25"/>
  <c r="Z111" i="25" s="1"/>
  <c r="AA111" i="25" s="1"/>
  <c r="AB111" i="25" s="1"/>
  <c r="AO290" i="25"/>
  <c r="W43" i="25"/>
  <c r="Z43" i="25" s="1"/>
  <c r="AA43" i="25" s="1"/>
  <c r="AB43" i="25" s="1"/>
  <c r="AD43" i="25"/>
  <c r="AE43" i="25" s="1"/>
  <c r="AO23" i="25"/>
  <c r="AO73" i="25"/>
  <c r="AD17" i="25"/>
  <c r="AE17" i="25" s="1"/>
  <c r="W17" i="25"/>
  <c r="Z17" i="25" s="1"/>
  <c r="AA17" i="25" s="1"/>
  <c r="AB17" i="25" s="1"/>
  <c r="V124" i="25"/>
  <c r="U124" i="25"/>
  <c r="V44" i="25"/>
  <c r="U44" i="25"/>
  <c r="W58" i="25"/>
  <c r="Z58" i="25" s="1"/>
  <c r="AA58" i="25" s="1"/>
  <c r="AB58" i="25" s="1"/>
  <c r="AD58" i="25"/>
  <c r="AE58" i="25" s="1"/>
  <c r="AO34" i="25"/>
  <c r="AD294" i="25"/>
  <c r="AE294" i="25" s="1"/>
  <c r="W294" i="25"/>
  <c r="Z294" i="25" s="1"/>
  <c r="AA294" i="25" s="1"/>
  <c r="U294" i="25"/>
  <c r="V294" i="25"/>
  <c r="AD199" i="25"/>
  <c r="AE199" i="25" s="1"/>
  <c r="W199" i="25"/>
  <c r="Z199" i="25" s="1"/>
  <c r="AA199" i="25" s="1"/>
  <c r="AB199" i="25" s="1"/>
  <c r="V183" i="25"/>
  <c r="U183" i="25"/>
  <c r="AD151" i="25"/>
  <c r="AE151" i="25" s="1"/>
  <c r="W151" i="25"/>
  <c r="Z151" i="25" s="1"/>
  <c r="AA151" i="25" s="1"/>
  <c r="AB151" i="25" s="1"/>
  <c r="U264" i="25"/>
  <c r="V264" i="25"/>
  <c r="AD217" i="25"/>
  <c r="AE217" i="25" s="1"/>
  <c r="W217" i="25"/>
  <c r="Z217" i="25" s="1"/>
  <c r="AA217" i="25" s="1"/>
  <c r="AB217" i="25" s="1"/>
  <c r="AO186" i="25"/>
  <c r="V172" i="25"/>
  <c r="U172" i="25"/>
  <c r="V140" i="25"/>
  <c r="U140" i="25"/>
  <c r="V277" i="25"/>
  <c r="U277" i="25"/>
  <c r="AD122" i="25"/>
  <c r="AE122" i="25" s="1"/>
  <c r="W122" i="25"/>
  <c r="Z122" i="25" s="1"/>
  <c r="AA122" i="25" s="1"/>
  <c r="AD39" i="25"/>
  <c r="AE39" i="25" s="1"/>
  <c r="W39" i="25"/>
  <c r="Z39" i="25" s="1"/>
  <c r="AA39" i="25" s="1"/>
  <c r="AB39" i="25" s="1"/>
  <c r="AD113" i="25"/>
  <c r="AE113" i="25" s="1"/>
  <c r="W113" i="25"/>
  <c r="Z113" i="25" s="1"/>
  <c r="AA113" i="25" s="1"/>
  <c r="AB113" i="25" s="1"/>
  <c r="AO13" i="25"/>
  <c r="W8" i="25"/>
  <c r="Z8" i="25" s="1"/>
  <c r="AA8" i="25" s="1"/>
  <c r="AB8" i="25" s="1"/>
  <c r="AD8" i="25"/>
  <c r="AE8" i="25" s="1"/>
  <c r="U8" i="25"/>
  <c r="V8" i="25"/>
  <c r="V120" i="25"/>
  <c r="U120" i="25"/>
  <c r="V86" i="25"/>
  <c r="U86" i="25"/>
  <c r="V88" i="25"/>
  <c r="U88" i="25"/>
  <c r="W20" i="25"/>
  <c r="Z20" i="25" s="1"/>
  <c r="AA20" i="25" s="1"/>
  <c r="AB20" i="25" s="1"/>
  <c r="AD20" i="25"/>
  <c r="AE20" i="25" s="1"/>
  <c r="AD45" i="25"/>
  <c r="AE45" i="25" s="1"/>
  <c r="W45" i="25"/>
  <c r="Z45" i="25" s="1"/>
  <c r="AA45" i="25" s="1"/>
  <c r="AB45" i="25" s="1"/>
  <c r="W37" i="25"/>
  <c r="Z37" i="25" s="1"/>
  <c r="AA37" i="25" s="1"/>
  <c r="AB37" i="25" s="1"/>
  <c r="AD37" i="25"/>
  <c r="AE37" i="25" s="1"/>
  <c r="W30" i="25"/>
  <c r="Z30" i="25" s="1"/>
  <c r="AA30" i="25" s="1"/>
  <c r="AB30" i="25" s="1"/>
  <c r="AD30" i="25"/>
  <c r="AE30" i="25" s="1"/>
  <c r="V201" i="25"/>
  <c r="U201" i="25"/>
  <c r="U267" i="25"/>
  <c r="V267" i="25"/>
  <c r="AD190" i="25"/>
  <c r="AE190" i="25" s="1"/>
  <c r="W190" i="25"/>
  <c r="Z190" i="25" s="1"/>
  <c r="AA190" i="25" s="1"/>
  <c r="AD197" i="25"/>
  <c r="AE197" i="25" s="1"/>
  <c r="W197" i="25"/>
  <c r="Z197" i="25" s="1"/>
  <c r="AA197" i="25" s="1"/>
  <c r="U173" i="25"/>
  <c r="V173" i="25"/>
  <c r="AD133" i="25"/>
  <c r="AE133" i="25" s="1"/>
  <c r="W133" i="25"/>
  <c r="Z133" i="25" s="1"/>
  <c r="AA133" i="25" s="1"/>
  <c r="AD290" i="25"/>
  <c r="AE290" i="25" s="1"/>
  <c r="W290" i="25"/>
  <c r="Z290" i="25" s="1"/>
  <c r="AA290" i="25" s="1"/>
  <c r="U223" i="25"/>
  <c r="V223" i="25"/>
  <c r="AO17" i="25"/>
  <c r="AD124" i="25"/>
  <c r="AE124" i="25" s="1"/>
  <c r="W124" i="25"/>
  <c r="Z124" i="25" s="1"/>
  <c r="AA124" i="25" s="1"/>
  <c r="AB124" i="25" s="1"/>
  <c r="V74" i="25"/>
  <c r="U74" i="25"/>
  <c r="W76" i="25"/>
  <c r="Z76" i="25" s="1"/>
  <c r="AA76" i="25" s="1"/>
  <c r="AB76" i="25" s="1"/>
  <c r="AD76" i="25"/>
  <c r="AE76" i="25" s="1"/>
  <c r="AD121" i="25"/>
  <c r="AE121" i="25" s="1"/>
  <c r="W121" i="25"/>
  <c r="Z121" i="25" s="1"/>
  <c r="AA121" i="25" s="1"/>
  <c r="AB121" i="25" s="1"/>
  <c r="V58" i="25"/>
  <c r="U58" i="25"/>
  <c r="V38" i="25"/>
  <c r="U38" i="25"/>
  <c r="AD300" i="25"/>
  <c r="AE300" i="25" s="1"/>
  <c r="W300" i="25"/>
  <c r="Z300" i="25" s="1"/>
  <c r="AA300" i="25" s="1"/>
  <c r="V279" i="25"/>
  <c r="U279" i="25"/>
  <c r="W309" i="25"/>
  <c r="Z309" i="25" s="1"/>
  <c r="AA309" i="25" s="1"/>
  <c r="AD309" i="25"/>
  <c r="AE309" i="25" s="1"/>
  <c r="V309" i="25"/>
  <c r="U309" i="25"/>
  <c r="U241" i="25"/>
  <c r="V241" i="25"/>
  <c r="AD204" i="25"/>
  <c r="AE204" i="25" s="1"/>
  <c r="W204" i="25"/>
  <c r="Z204" i="25" s="1"/>
  <c r="AA204" i="25" s="1"/>
  <c r="U254" i="25"/>
  <c r="V254" i="25"/>
  <c r="AD238" i="25"/>
  <c r="AE238" i="25" s="1"/>
  <c r="W238" i="25"/>
  <c r="Z238" i="25" s="1"/>
  <c r="AA238" i="25" s="1"/>
  <c r="AO238" i="25"/>
  <c r="AO308" i="25"/>
  <c r="AO206" i="25"/>
  <c r="AO183" i="25"/>
  <c r="AO151" i="25"/>
  <c r="AD264" i="25"/>
  <c r="AE264" i="25" s="1"/>
  <c r="W264" i="25"/>
  <c r="Z264" i="25" s="1"/>
  <c r="AA264" i="25" s="1"/>
  <c r="AO264" i="25"/>
  <c r="U240" i="25"/>
  <c r="V240" i="25"/>
  <c r="AD232" i="25"/>
  <c r="AE232" i="25" s="1"/>
  <c r="W232" i="25"/>
  <c r="Z232" i="25" s="1"/>
  <c r="AA232" i="25" s="1"/>
  <c r="AO232" i="25"/>
  <c r="AD170" i="25"/>
  <c r="AE170" i="25" s="1"/>
  <c r="W170" i="25"/>
  <c r="Z170" i="25" s="1"/>
  <c r="AA170" i="25" s="1"/>
  <c r="AB170" i="25" s="1"/>
  <c r="U170" i="25"/>
  <c r="V170" i="25"/>
  <c r="AD138" i="25"/>
  <c r="AE138" i="25" s="1"/>
  <c r="W138" i="25"/>
  <c r="Z138" i="25" s="1"/>
  <c r="AA138" i="25" s="1"/>
  <c r="AB138" i="25" s="1"/>
  <c r="U138" i="25"/>
  <c r="V138" i="25"/>
  <c r="AO196" i="25"/>
  <c r="W188" i="25"/>
  <c r="Z188" i="25" s="1"/>
  <c r="AA188" i="25" s="1"/>
  <c r="AB188" i="25" s="1"/>
  <c r="AD188" i="25"/>
  <c r="AE188" i="25" s="1"/>
  <c r="AO180" i="25"/>
  <c r="W172" i="25"/>
  <c r="Z172" i="25" s="1"/>
  <c r="AA172" i="25" s="1"/>
  <c r="AB172" i="25" s="1"/>
  <c r="AD172" i="25"/>
  <c r="AE172" i="25" s="1"/>
  <c r="AO164" i="25"/>
  <c r="W156" i="25"/>
  <c r="Z156" i="25" s="1"/>
  <c r="AA156" i="25" s="1"/>
  <c r="AB156" i="25" s="1"/>
  <c r="AD156" i="25"/>
  <c r="AE156" i="25" s="1"/>
  <c r="AO148" i="25"/>
  <c r="W140" i="25"/>
  <c r="Z140" i="25" s="1"/>
  <c r="AA140" i="25" s="1"/>
  <c r="AB140" i="25" s="1"/>
  <c r="AD140" i="25"/>
  <c r="AE140" i="25" s="1"/>
  <c r="AO132" i="25"/>
  <c r="AD123" i="25"/>
  <c r="AE123" i="25" s="1"/>
  <c r="W123" i="25"/>
  <c r="Z123" i="25" s="1"/>
  <c r="AA123" i="25" s="1"/>
  <c r="AO123" i="25"/>
  <c r="U230" i="25"/>
  <c r="V230" i="25"/>
  <c r="AD222" i="25"/>
  <c r="AE222" i="25" s="1"/>
  <c r="W222" i="25"/>
  <c r="Z222" i="25" s="1"/>
  <c r="AA222" i="25" s="1"/>
  <c r="AO222" i="25"/>
  <c r="AO122" i="25"/>
  <c r="V87" i="25"/>
  <c r="U87" i="25"/>
  <c r="V71" i="25"/>
  <c r="U71" i="25"/>
  <c r="AO55" i="25"/>
  <c r="AO39" i="25"/>
  <c r="AO19" i="25"/>
  <c r="AO113" i="25"/>
  <c r="AO65" i="25"/>
  <c r="AO33" i="25"/>
  <c r="AO8" i="25"/>
  <c r="AO86" i="25"/>
  <c r="AO70" i="25"/>
  <c r="AO88" i="25"/>
  <c r="AO72" i="25"/>
  <c r="AO56" i="25"/>
  <c r="V40" i="25"/>
  <c r="U40" i="25"/>
  <c r="AO40" i="25"/>
  <c r="V20" i="25"/>
  <c r="U20" i="25"/>
  <c r="AO20" i="25"/>
  <c r="AO89" i="25"/>
  <c r="V89" i="25"/>
  <c r="U89" i="25"/>
  <c r="AO45" i="25"/>
  <c r="V45" i="25"/>
  <c r="U45" i="25"/>
  <c r="AO50" i="25"/>
  <c r="AO30" i="25"/>
  <c r="V14" i="25"/>
  <c r="U14" i="25"/>
  <c r="V316" i="25"/>
  <c r="U316" i="25"/>
  <c r="W201" i="25"/>
  <c r="Z201" i="25" s="1"/>
  <c r="AA201" i="25" s="1"/>
  <c r="AB201" i="25" s="1"/>
  <c r="AD201" i="25"/>
  <c r="AE201" i="25" s="1"/>
  <c r="AO187" i="25"/>
  <c r="AD155" i="25"/>
  <c r="AE155" i="25" s="1"/>
  <c r="W155" i="25"/>
  <c r="Z155" i="25" s="1"/>
  <c r="AA155" i="25" s="1"/>
  <c r="U251" i="25"/>
  <c r="V251" i="25"/>
  <c r="AD235" i="25"/>
  <c r="AE235" i="25" s="1"/>
  <c r="W235" i="25"/>
  <c r="Z235" i="25" s="1"/>
  <c r="AA235" i="25" s="1"/>
  <c r="AO235" i="25"/>
  <c r="AO190" i="25"/>
  <c r="AO173" i="25"/>
  <c r="AO141" i="25"/>
  <c r="V111" i="25"/>
  <c r="U111" i="25"/>
  <c r="V98" i="25"/>
  <c r="U98" i="25"/>
  <c r="V75" i="25"/>
  <c r="U75" i="25"/>
  <c r="V23" i="25"/>
  <c r="U23" i="25"/>
  <c r="V73" i="25"/>
  <c r="U73" i="25"/>
  <c r="V17" i="25"/>
  <c r="U17" i="25"/>
  <c r="V76" i="25"/>
  <c r="U76" i="25"/>
  <c r="AO58" i="25"/>
  <c r="AO199" i="25"/>
  <c r="AO167" i="25"/>
  <c r="AO135" i="25"/>
  <c r="AO274" i="25"/>
  <c r="U256" i="25"/>
  <c r="V256" i="25"/>
  <c r="AD248" i="25"/>
  <c r="AE248" i="25" s="1"/>
  <c r="W248" i="25"/>
  <c r="Z248" i="25" s="1"/>
  <c r="AA248" i="25" s="1"/>
  <c r="AO248" i="25"/>
  <c r="U217" i="25"/>
  <c r="V217" i="25"/>
  <c r="AD186" i="25"/>
  <c r="AE186" i="25" s="1"/>
  <c r="W186" i="25"/>
  <c r="Z186" i="25" s="1"/>
  <c r="AA186" i="25" s="1"/>
  <c r="AB186" i="25" s="1"/>
  <c r="U186" i="25"/>
  <c r="V186" i="25"/>
  <c r="AD154" i="25"/>
  <c r="AE154" i="25" s="1"/>
  <c r="W154" i="25"/>
  <c r="Z154" i="25" s="1"/>
  <c r="AA154" i="25" s="1"/>
  <c r="AB154" i="25" s="1"/>
  <c r="U154" i="25"/>
  <c r="V154" i="25"/>
  <c r="W196" i="25"/>
  <c r="Z196" i="25" s="1"/>
  <c r="AA196" i="25" s="1"/>
  <c r="AB196" i="25" s="1"/>
  <c r="AD196" i="25"/>
  <c r="AE196" i="25" s="1"/>
  <c r="AO188" i="25"/>
  <c r="W180" i="25"/>
  <c r="Z180" i="25" s="1"/>
  <c r="AA180" i="25" s="1"/>
  <c r="AB180" i="25" s="1"/>
  <c r="AD180" i="25"/>
  <c r="AE180" i="25" s="1"/>
  <c r="AO172" i="25"/>
  <c r="W164" i="25"/>
  <c r="Z164" i="25" s="1"/>
  <c r="AA164" i="25" s="1"/>
  <c r="AB164" i="25" s="1"/>
  <c r="AD164" i="25"/>
  <c r="AE164" i="25" s="1"/>
  <c r="AO156" i="25"/>
  <c r="W148" i="25"/>
  <c r="Z148" i="25" s="1"/>
  <c r="AA148" i="25" s="1"/>
  <c r="AB148" i="25" s="1"/>
  <c r="AD148" i="25"/>
  <c r="AE148" i="25" s="1"/>
  <c r="AO140" i="25"/>
  <c r="W132" i="25"/>
  <c r="Z132" i="25" s="1"/>
  <c r="AA132" i="25" s="1"/>
  <c r="AB132" i="25" s="1"/>
  <c r="AD132" i="25"/>
  <c r="AE132" i="25" s="1"/>
  <c r="AD105" i="25"/>
  <c r="AE105" i="25" s="1"/>
  <c r="W105" i="25"/>
  <c r="Z105" i="25" s="1"/>
  <c r="AA105" i="25" s="1"/>
  <c r="AB105" i="25" s="1"/>
  <c r="V105" i="25"/>
  <c r="U105" i="25"/>
  <c r="AD101" i="25"/>
  <c r="AE101" i="25" s="1"/>
  <c r="W101" i="25"/>
  <c r="Z101" i="25" s="1"/>
  <c r="AA101" i="25" s="1"/>
  <c r="AB101" i="25" s="1"/>
  <c r="V101" i="25"/>
  <c r="U101" i="25"/>
  <c r="AD97" i="25"/>
  <c r="AE97" i="25" s="1"/>
  <c r="W97" i="25"/>
  <c r="Z97" i="25" s="1"/>
  <c r="AA97" i="25" s="1"/>
  <c r="AB97" i="25" s="1"/>
  <c r="V97" i="25"/>
  <c r="U97" i="25"/>
  <c r="AD93" i="25"/>
  <c r="AE93" i="25" s="1"/>
  <c r="W93" i="25"/>
  <c r="Z93" i="25" s="1"/>
  <c r="AA93" i="25" s="1"/>
  <c r="AB93" i="25" s="1"/>
  <c r="V93" i="25"/>
  <c r="U93" i="25"/>
  <c r="AD277" i="25"/>
  <c r="AE277" i="25" s="1"/>
  <c r="W277" i="25"/>
  <c r="Z277" i="25" s="1"/>
  <c r="AA277" i="25" s="1"/>
  <c r="AO71" i="25"/>
  <c r="V65" i="25"/>
  <c r="U65" i="25"/>
  <c r="V33" i="25"/>
  <c r="U33" i="25"/>
  <c r="V13" i="25"/>
  <c r="U13" i="25"/>
  <c r="V72" i="25"/>
  <c r="U72" i="25"/>
  <c r="V56" i="25"/>
  <c r="U56" i="25"/>
  <c r="AO316" i="25"/>
  <c r="AD187" i="25"/>
  <c r="AE187" i="25" s="1"/>
  <c r="W187" i="25"/>
  <c r="Z187" i="25" s="1"/>
  <c r="AA187" i="25" s="1"/>
  <c r="AO155" i="25"/>
  <c r="AD267" i="25"/>
  <c r="AE267" i="25" s="1"/>
  <c r="W267" i="25"/>
  <c r="Z267" i="25" s="1"/>
  <c r="AA267" i="25" s="1"/>
  <c r="AO267" i="25"/>
  <c r="AO158" i="25"/>
  <c r="AO197" i="25"/>
  <c r="AO157" i="25"/>
  <c r="AO133" i="25"/>
  <c r="AO98" i="25"/>
  <c r="U290" i="25"/>
  <c r="V290" i="25"/>
  <c r="AD223" i="25"/>
  <c r="AE223" i="25" s="1"/>
  <c r="W223" i="25"/>
  <c r="Z223" i="25" s="1"/>
  <c r="AA223" i="25" s="1"/>
  <c r="AO223" i="25"/>
  <c r="AO43" i="25"/>
  <c r="AO74" i="25"/>
  <c r="AO76" i="25"/>
  <c r="AO44" i="25"/>
  <c r="AO121" i="25"/>
  <c r="K67" i="23"/>
  <c r="M67" i="23" s="1"/>
  <c r="L103" i="23"/>
  <c r="M103" i="23" s="1"/>
  <c r="L88" i="23"/>
  <c r="M88" i="23" s="1"/>
  <c r="K20" i="23"/>
  <c r="M20" i="23" s="1"/>
  <c r="AP5" i="24"/>
  <c r="W315" i="24"/>
  <c r="Y315" i="24" s="1"/>
  <c r="K63" i="23"/>
  <c r="M63" i="23" s="1"/>
  <c r="L49" i="23"/>
  <c r="M49" i="23" s="1"/>
  <c r="K84" i="23"/>
  <c r="M84" i="23" s="1"/>
  <c r="AP224" i="24"/>
  <c r="L60" i="23"/>
  <c r="M60" i="23" s="1"/>
  <c r="AP228" i="24"/>
  <c r="AP270" i="24"/>
  <c r="W303" i="24"/>
  <c r="Y303" i="24" s="1"/>
  <c r="AP259" i="24"/>
  <c r="AP230" i="24"/>
  <c r="AP274" i="24"/>
  <c r="AP252" i="24"/>
  <c r="AP284" i="24"/>
  <c r="AP241" i="24"/>
  <c r="AP273" i="24"/>
  <c r="AP305" i="24"/>
  <c r="AP286" i="24"/>
  <c r="AP288" i="24"/>
  <c r="AP265" i="24"/>
  <c r="AP266" i="24"/>
  <c r="AP237" i="24"/>
  <c r="AP269" i="24"/>
  <c r="AP250" i="24"/>
  <c r="AP223" i="24"/>
  <c r="AP255" i="24"/>
  <c r="AP287" i="24"/>
  <c r="AP310" i="24"/>
  <c r="AP258" i="24"/>
  <c r="AP235" i="24"/>
  <c r="AP299" i="24"/>
  <c r="W301" i="24"/>
  <c r="Y301" i="24" s="1"/>
  <c r="AP232" i="24"/>
  <c r="AP264" i="24"/>
  <c r="AP296" i="24"/>
  <c r="AP221" i="24"/>
  <c r="AP226" i="24"/>
  <c r="AP263" i="24"/>
  <c r="W234" i="24"/>
  <c r="Y234" i="24" s="1"/>
  <c r="W293" i="24"/>
  <c r="Y293" i="24" s="1"/>
  <c r="AP239" i="24"/>
  <c r="AP271" i="24"/>
  <c r="AP303" i="24"/>
  <c r="AP262" i="24"/>
  <c r="AP175" i="24"/>
  <c r="AP209" i="24"/>
  <c r="AP129" i="24"/>
  <c r="AP177" i="24"/>
  <c r="AP201" i="24"/>
  <c r="AP173" i="24"/>
  <c r="AP172" i="24"/>
  <c r="AP189" i="24"/>
  <c r="AP194" i="24"/>
  <c r="AP198" i="24"/>
  <c r="AP184" i="24"/>
  <c r="AP200" i="24"/>
  <c r="AP118" i="24"/>
  <c r="AP117" i="24"/>
  <c r="W233" i="24"/>
  <c r="Y233" i="24" s="1"/>
  <c r="AP192" i="24"/>
  <c r="AP208" i="24"/>
  <c r="AP179" i="24"/>
  <c r="AP191" i="24"/>
  <c r="AP233" i="24"/>
  <c r="AP168" i="24"/>
  <c r="AP181" i="24"/>
  <c r="AP246" i="24"/>
  <c r="AP190" i="24"/>
  <c r="AP167" i="24"/>
  <c r="AP188" i="24"/>
  <c r="AP204" i="24"/>
  <c r="AP298" i="24"/>
  <c r="AP183" i="24"/>
  <c r="W239" i="24"/>
  <c r="Y239" i="24" s="1"/>
  <c r="AP193" i="24"/>
  <c r="AP203" i="24"/>
  <c r="AP148" i="24"/>
  <c r="AP180" i="24"/>
  <c r="AP182" i="24"/>
  <c r="AP199" i="24"/>
  <c r="AP279" i="24"/>
  <c r="AP171" i="24"/>
  <c r="AP276" i="24"/>
  <c r="AP306" i="24"/>
  <c r="AP249" i="24"/>
  <c r="AP313" i="24"/>
  <c r="AP170" i="24"/>
  <c r="AP247" i="24"/>
  <c r="AP295" i="24"/>
  <c r="AP197" i="24"/>
  <c r="AP242" i="24"/>
  <c r="AP125" i="24"/>
  <c r="AP187" i="24"/>
  <c r="AP165" i="24"/>
  <c r="AP121" i="24"/>
  <c r="AP174" i="24"/>
  <c r="AP176" i="24"/>
  <c r="AP169" i="24"/>
  <c r="AP206" i="24"/>
  <c r="AP141" i="24"/>
  <c r="AP178" i="24"/>
  <c r="AP210" i="24"/>
  <c r="AP244" i="24"/>
  <c r="AP205" i="24"/>
  <c r="AP217" i="24"/>
  <c r="AP185" i="24"/>
  <c r="W271" i="24"/>
  <c r="Y271" i="24" s="1"/>
  <c r="AP196" i="24"/>
  <c r="AP166" i="24"/>
  <c r="AP202" i="24"/>
  <c r="AP229" i="24"/>
  <c r="AP261" i="24"/>
  <c r="AP154" i="24"/>
  <c r="AP186" i="24"/>
  <c r="AP207" i="24"/>
  <c r="AP195" i="24"/>
  <c r="AP292" i="24"/>
  <c r="AP119" i="24"/>
  <c r="AP218" i="24"/>
  <c r="AP130" i="24"/>
  <c r="AP220" i="24"/>
  <c r="AP316" i="24"/>
  <c r="AP227" i="24"/>
  <c r="AP291" i="24"/>
  <c r="AP256" i="24"/>
  <c r="AP133" i="24"/>
  <c r="AP293" i="24"/>
  <c r="AP282" i="24"/>
  <c r="AP267" i="24"/>
  <c r="AP278" i="24"/>
  <c r="AP231" i="24"/>
  <c r="AP311" i="24"/>
  <c r="W287" i="24"/>
  <c r="Y287" i="24" s="1"/>
  <c r="W268" i="24"/>
  <c r="Y268" i="24" s="1"/>
  <c r="W228" i="24"/>
  <c r="Y228" i="24" s="1"/>
  <c r="W229" i="24"/>
  <c r="Y229" i="24" s="1"/>
  <c r="W288" i="24"/>
  <c r="Y288" i="24" s="1"/>
  <c r="AP302" i="24"/>
  <c r="AP301" i="24"/>
  <c r="AP289" i="24"/>
  <c r="AP134" i="24"/>
  <c r="AP111" i="24"/>
  <c r="AP308" i="24"/>
  <c r="AP281" i="24"/>
  <c r="AP113" i="24"/>
  <c r="AP243" i="24"/>
  <c r="AP275" i="24"/>
  <c r="AP307" i="24"/>
  <c r="AP240" i="24"/>
  <c r="AP238" i="24"/>
  <c r="AP245" i="24"/>
  <c r="AP277" i="24"/>
  <c r="AP309" i="24"/>
  <c r="AP156" i="24"/>
  <c r="AP297" i="24"/>
  <c r="W266" i="24"/>
  <c r="Y266" i="24" s="1"/>
  <c r="AP219" i="24"/>
  <c r="AP251" i="24"/>
  <c r="AP283" i="24"/>
  <c r="AP315" i="24"/>
  <c r="AP222" i="24"/>
  <c r="AP116" i="24"/>
  <c r="AP253" i="24"/>
  <c r="AP285" i="24"/>
  <c r="AP162" i="24"/>
  <c r="AP234" i="24"/>
  <c r="AP314" i="24"/>
  <c r="AP236" i="24"/>
  <c r="AP268" i="24"/>
  <c r="AP300" i="24"/>
  <c r="AP225" i="24"/>
  <c r="AP257" i="24"/>
  <c r="AP158" i="24"/>
  <c r="AP136" i="24"/>
  <c r="AP147" i="24"/>
  <c r="AP260" i="24"/>
  <c r="AP254" i="24"/>
  <c r="AP294" i="24"/>
  <c r="AP248" i="24"/>
  <c r="AP280" i="24"/>
  <c r="AP312" i="24"/>
  <c r="AP139" i="24"/>
  <c r="AP114" i="24"/>
  <c r="AP145" i="24"/>
  <c r="AP140" i="24"/>
  <c r="AP163" i="24"/>
  <c r="AP124" i="24"/>
  <c r="AP272" i="24"/>
  <c r="AP304" i="24"/>
  <c r="AP290" i="24"/>
  <c r="AP161" i="24"/>
  <c r="AP137" i="24"/>
  <c r="W127" i="24"/>
  <c r="Y127" i="24" s="1"/>
  <c r="X127" i="24"/>
  <c r="AA127" i="24" s="1"/>
  <c r="AB127" i="24" s="1"/>
  <c r="AC127" i="24" s="1"/>
  <c r="AE127" i="24"/>
  <c r="AI127" i="24"/>
  <c r="V123" i="24"/>
  <c r="V199" i="24"/>
  <c r="V191" i="24"/>
  <c r="W121" i="24"/>
  <c r="Y121" i="24" s="1"/>
  <c r="X121" i="24"/>
  <c r="AA121" i="24" s="1"/>
  <c r="AB121" i="24" s="1"/>
  <c r="AC121" i="24" s="1"/>
  <c r="AE121" i="24"/>
  <c r="AI121" i="24"/>
  <c r="V310" i="24"/>
  <c r="W310" i="24"/>
  <c r="V131" i="24"/>
  <c r="W258" i="24"/>
  <c r="Y258" i="24" s="1"/>
  <c r="V173" i="24"/>
  <c r="W173" i="24"/>
  <c r="AE111" i="24"/>
  <c r="X111" i="24"/>
  <c r="AA111" i="24" s="1"/>
  <c r="AB111" i="24" s="1"/>
  <c r="AC111" i="24" s="1"/>
  <c r="AI111" i="24"/>
  <c r="X197" i="24"/>
  <c r="AA197" i="24" s="1"/>
  <c r="AB197" i="24" s="1"/>
  <c r="AC197" i="24" s="1"/>
  <c r="AE197" i="24"/>
  <c r="L100" i="23"/>
  <c r="M100" i="23" s="1"/>
  <c r="W219" i="24"/>
  <c r="Y219" i="24" s="1"/>
  <c r="AP144" i="24"/>
  <c r="AP160" i="24"/>
  <c r="AP126" i="24"/>
  <c r="AP143" i="24"/>
  <c r="X175" i="24"/>
  <c r="AA175" i="24" s="1"/>
  <c r="AB175" i="24" s="1"/>
  <c r="AC175" i="24" s="1"/>
  <c r="AJ175" i="24" s="1"/>
  <c r="AE175" i="24"/>
  <c r="AP146" i="24"/>
  <c r="W178" i="24"/>
  <c r="Y178" i="24" s="1"/>
  <c r="X178" i="24"/>
  <c r="AA178" i="24" s="1"/>
  <c r="AB178" i="24" s="1"/>
  <c r="AC178" i="24" s="1"/>
  <c r="AJ178" i="24" s="1"/>
  <c r="AE178" i="24"/>
  <c r="AP120" i="24"/>
  <c r="AP132" i="24"/>
  <c r="AP164" i="24"/>
  <c r="V201" i="24"/>
  <c r="AP151" i="24"/>
  <c r="AP123" i="24"/>
  <c r="AP155" i="24"/>
  <c r="AP150" i="24"/>
  <c r="V111" i="24"/>
  <c r="W111" i="24"/>
  <c r="X140" i="24"/>
  <c r="AA140" i="24" s="1"/>
  <c r="AB140" i="24" s="1"/>
  <c r="AC140" i="24" s="1"/>
  <c r="AJ140" i="24" s="1"/>
  <c r="AE140" i="24"/>
  <c r="V189" i="24"/>
  <c r="V194" i="24"/>
  <c r="AP135" i="24"/>
  <c r="V198" i="24"/>
  <c r="AP152" i="24"/>
  <c r="W138" i="24"/>
  <c r="Y138" i="24" s="1"/>
  <c r="AE138" i="24"/>
  <c r="X138" i="24"/>
  <c r="AA138" i="24" s="1"/>
  <c r="AB138" i="24" s="1"/>
  <c r="AC138" i="24" s="1"/>
  <c r="AJ138" i="24" s="1"/>
  <c r="V207" i="24"/>
  <c r="V195" i="24"/>
  <c r="V115" i="24"/>
  <c r="V128" i="24"/>
  <c r="W197" i="24"/>
  <c r="V197" i="24"/>
  <c r="AP142" i="24"/>
  <c r="V187" i="24"/>
  <c r="V124" i="24"/>
  <c r="W124" i="24"/>
  <c r="V156" i="24"/>
  <c r="W250" i="24"/>
  <c r="Y250" i="24" s="1"/>
  <c r="AE160" i="24"/>
  <c r="X160" i="24"/>
  <c r="AA160" i="24" s="1"/>
  <c r="AB160" i="24" s="1"/>
  <c r="AC160" i="24" s="1"/>
  <c r="AJ160" i="24" s="1"/>
  <c r="AE126" i="24"/>
  <c r="X126" i="24"/>
  <c r="AA126" i="24" s="1"/>
  <c r="AB126" i="24" s="1"/>
  <c r="AC126" i="24" s="1"/>
  <c r="AJ126" i="24" s="1"/>
  <c r="V193" i="24"/>
  <c r="V175" i="24"/>
  <c r="W175" i="24"/>
  <c r="V141" i="24"/>
  <c r="V165" i="24"/>
  <c r="W129" i="24"/>
  <c r="Y129" i="24" s="1"/>
  <c r="X129" i="24"/>
  <c r="AA129" i="24" s="1"/>
  <c r="AB129" i="24" s="1"/>
  <c r="AC129" i="24" s="1"/>
  <c r="AJ129" i="24" s="1"/>
  <c r="AE129" i="24"/>
  <c r="V203" i="24"/>
  <c r="W164" i="24"/>
  <c r="Y164" i="24" s="1"/>
  <c r="X164" i="24"/>
  <c r="AA164" i="24" s="1"/>
  <c r="AB164" i="24" s="1"/>
  <c r="AC164" i="24" s="1"/>
  <c r="AJ164" i="24" s="1"/>
  <c r="AE164" i="24"/>
  <c r="X180" i="24"/>
  <c r="AA180" i="24" s="1"/>
  <c r="AB180" i="24" s="1"/>
  <c r="AC180" i="24" s="1"/>
  <c r="AJ180" i="24" s="1"/>
  <c r="AE180" i="24"/>
  <c r="AP131" i="24"/>
  <c r="V140" i="24"/>
  <c r="W140" i="24"/>
  <c r="V172" i="24"/>
  <c r="W135" i="24"/>
  <c r="Y135" i="24" s="1"/>
  <c r="X135" i="24"/>
  <c r="AA135" i="24" s="1"/>
  <c r="AB135" i="24" s="1"/>
  <c r="AC135" i="24" s="1"/>
  <c r="AJ135" i="24" s="1"/>
  <c r="AE135" i="24"/>
  <c r="W202" i="24"/>
  <c r="Y202" i="24" s="1"/>
  <c r="X202" i="24"/>
  <c r="AA202" i="24" s="1"/>
  <c r="AB202" i="24" s="1"/>
  <c r="AC202" i="24" s="1"/>
  <c r="AJ202" i="24" s="1"/>
  <c r="AE202" i="24"/>
  <c r="AE200" i="24"/>
  <c r="X200" i="24"/>
  <c r="AA200" i="24" s="1"/>
  <c r="AB200" i="24" s="1"/>
  <c r="AC200" i="24" s="1"/>
  <c r="AJ200" i="24" s="1"/>
  <c r="AP157" i="24"/>
  <c r="AP112" i="24"/>
  <c r="V159" i="24"/>
  <c r="V133" i="24"/>
  <c r="V185" i="24"/>
  <c r="V167" i="24"/>
  <c r="V154" i="24"/>
  <c r="V186" i="24"/>
  <c r="V147" i="24"/>
  <c r="V125" i="24"/>
  <c r="V112" i="24"/>
  <c r="W251" i="24"/>
  <c r="Y251" i="24" s="1"/>
  <c r="V160" i="24"/>
  <c r="W160" i="24"/>
  <c r="V176" i="24"/>
  <c r="V192" i="24"/>
  <c r="V208" i="24"/>
  <c r="V126" i="24"/>
  <c r="W126" i="24"/>
  <c r="V169" i="24"/>
  <c r="V143" i="24"/>
  <c r="V116" i="24"/>
  <c r="V162" i="24"/>
  <c r="V179" i="24"/>
  <c r="V132" i="24"/>
  <c r="W180" i="24"/>
  <c r="V180" i="24"/>
  <c r="AP127" i="24"/>
  <c r="AE173" i="24"/>
  <c r="X173" i="24"/>
  <c r="AA173" i="24" s="1"/>
  <c r="AB173" i="24" s="1"/>
  <c r="AC173" i="24" s="1"/>
  <c r="AJ173" i="24" s="1"/>
  <c r="AP122" i="24"/>
  <c r="AP153" i="24"/>
  <c r="V158" i="24"/>
  <c r="V163" i="24"/>
  <c r="V113" i="24"/>
  <c r="V152" i="24"/>
  <c r="V200" i="24"/>
  <c r="W200" i="24"/>
  <c r="W118" i="24"/>
  <c r="Y118" i="24" s="1"/>
  <c r="AE118" i="24"/>
  <c r="X118" i="24"/>
  <c r="AA118" i="24" s="1"/>
  <c r="AB118" i="24" s="1"/>
  <c r="AC118" i="24" s="1"/>
  <c r="AJ118" i="24" s="1"/>
  <c r="V205" i="24"/>
  <c r="AE124" i="24"/>
  <c r="X124" i="24"/>
  <c r="AA124" i="24" s="1"/>
  <c r="AB124" i="24" s="1"/>
  <c r="AC124" i="24" s="1"/>
  <c r="AJ124" i="24" s="1"/>
  <c r="AP159" i="24"/>
  <c r="AP149" i="24"/>
  <c r="AP138" i="24"/>
  <c r="AP115" i="24"/>
  <c r="AP128" i="24"/>
  <c r="AI197" i="24"/>
  <c r="V183" i="24"/>
  <c r="W220" i="24"/>
  <c r="Y220" i="24" s="1"/>
  <c r="L24" i="23"/>
  <c r="M24" i="23" s="1"/>
  <c r="K42" i="23"/>
  <c r="M42" i="23" s="1"/>
  <c r="K66" i="23"/>
  <c r="M66" i="23" s="1"/>
  <c r="K74" i="23"/>
  <c r="M74" i="23" s="1"/>
  <c r="X245" i="24"/>
  <c r="AA245" i="24" s="1"/>
  <c r="AB245" i="24" s="1"/>
  <c r="AC245" i="24" s="1"/>
  <c r="AE245" i="24"/>
  <c r="AI245" i="24"/>
  <c r="AI307" i="24"/>
  <c r="AE307" i="24"/>
  <c r="X307" i="24"/>
  <c r="AA307" i="24" s="1"/>
  <c r="AB307" i="24" s="1"/>
  <c r="AC307" i="24" s="1"/>
  <c r="V284" i="24"/>
  <c r="V227" i="24"/>
  <c r="W227" i="24"/>
  <c r="AE302" i="24"/>
  <c r="AI302" i="24"/>
  <c r="X302" i="24"/>
  <c r="AA302" i="24" s="1"/>
  <c r="AB302" i="24" s="1"/>
  <c r="AC302" i="24" s="1"/>
  <c r="W297" i="24"/>
  <c r="Y297" i="24" s="1"/>
  <c r="AI297" i="24"/>
  <c r="AE297" i="24"/>
  <c r="X297" i="24"/>
  <c r="AA297" i="24" s="1"/>
  <c r="AB297" i="24" s="1"/>
  <c r="AC297" i="24" s="1"/>
  <c r="V279" i="24"/>
  <c r="W279" i="24"/>
  <c r="V296" i="24"/>
  <c r="V245" i="24"/>
  <c r="W245" i="24"/>
  <c r="AE240" i="24"/>
  <c r="AI240" i="24"/>
  <c r="X240" i="24"/>
  <c r="AA240" i="24" s="1"/>
  <c r="AB240" i="24" s="1"/>
  <c r="AC240" i="24" s="1"/>
  <c r="AI259" i="24"/>
  <c r="AE259" i="24"/>
  <c r="X259" i="24"/>
  <c r="AA259" i="24" s="1"/>
  <c r="AB259" i="24" s="1"/>
  <c r="AC259" i="24" s="1"/>
  <c r="AE223" i="24"/>
  <c r="AI223" i="24"/>
  <c r="X223" i="24"/>
  <c r="AA223" i="24" s="1"/>
  <c r="AB223" i="24" s="1"/>
  <c r="AC223" i="24" s="1"/>
  <c r="AI264" i="24"/>
  <c r="AE264" i="24"/>
  <c r="X264" i="24"/>
  <c r="AA264" i="24" s="1"/>
  <c r="AB264" i="24" s="1"/>
  <c r="AC264" i="24" s="1"/>
  <c r="AE273" i="24"/>
  <c r="AI273" i="24"/>
  <c r="X273" i="24"/>
  <c r="AA273" i="24" s="1"/>
  <c r="AB273" i="24" s="1"/>
  <c r="AC273" i="24" s="1"/>
  <c r="V231" i="24"/>
  <c r="AE222" i="24"/>
  <c r="AI222" i="24"/>
  <c r="X222" i="24"/>
  <c r="AA222" i="24" s="1"/>
  <c r="AB222" i="24" s="1"/>
  <c r="AC222" i="24" s="1"/>
  <c r="AI243" i="24"/>
  <c r="AE243" i="24"/>
  <c r="X243" i="24"/>
  <c r="AA243" i="24" s="1"/>
  <c r="AB243" i="24" s="1"/>
  <c r="AC243" i="24" s="1"/>
  <c r="V312" i="24"/>
  <c r="V270" i="24"/>
  <c r="AI293" i="24"/>
  <c r="AE293" i="24"/>
  <c r="X293" i="24"/>
  <c r="AA293" i="24" s="1"/>
  <c r="AB293" i="24" s="1"/>
  <c r="AC293" i="24" s="1"/>
  <c r="V304" i="24"/>
  <c r="W304" i="24"/>
  <c r="AE301" i="24"/>
  <c r="AI301" i="24"/>
  <c r="X301" i="24"/>
  <c r="AA301" i="24" s="1"/>
  <c r="AB301" i="24" s="1"/>
  <c r="AC301" i="24" s="1"/>
  <c r="W307" i="24"/>
  <c r="Y307" i="24" s="1"/>
  <c r="AI241" i="24"/>
  <c r="AE241" i="24"/>
  <c r="X241" i="24"/>
  <c r="AA241" i="24" s="1"/>
  <c r="AB241" i="24" s="1"/>
  <c r="AC241" i="24" s="1"/>
  <c r="AE279" i="24"/>
  <c r="AI279" i="24"/>
  <c r="X279" i="24"/>
  <c r="AA279" i="24" s="1"/>
  <c r="AB279" i="24" s="1"/>
  <c r="AC279" i="24" s="1"/>
  <c r="AE236" i="24"/>
  <c r="AI236" i="24"/>
  <c r="X236" i="24"/>
  <c r="AA236" i="24" s="1"/>
  <c r="AB236" i="24" s="1"/>
  <c r="AC236" i="24" s="1"/>
  <c r="AE224" i="24"/>
  <c r="AI224" i="24"/>
  <c r="X224" i="24"/>
  <c r="AA224" i="24" s="1"/>
  <c r="AB224" i="24" s="1"/>
  <c r="AC224" i="24" s="1"/>
  <c r="V294" i="24"/>
  <c r="W294" i="24"/>
  <c r="V246" i="24"/>
  <c r="W236" i="24"/>
  <c r="Y236" i="24" s="1"/>
  <c r="W259" i="24"/>
  <c r="Y259" i="24" s="1"/>
  <c r="W273" i="24"/>
  <c r="Y273" i="24" s="1"/>
  <c r="AE285" i="24"/>
  <c r="AI285" i="24"/>
  <c r="X285" i="24"/>
  <c r="AA285" i="24" s="1"/>
  <c r="AB285" i="24" s="1"/>
  <c r="AC285" i="24" s="1"/>
  <c r="V316" i="24"/>
  <c r="W316" i="24"/>
  <c r="V276" i="24"/>
  <c r="V223" i="24"/>
  <c r="W223" i="24"/>
  <c r="V254" i="24"/>
  <c r="W254" i="24"/>
  <c r="V232" i="24"/>
  <c r="V309" i="24"/>
  <c r="W309" i="24"/>
  <c r="V314" i="24"/>
  <c r="W314" i="24"/>
  <c r="AI251" i="24"/>
  <c r="AE251" i="24"/>
  <c r="X251" i="24"/>
  <c r="AA251" i="24" s="1"/>
  <c r="AB251" i="24" s="1"/>
  <c r="AC251" i="24" s="1"/>
  <c r="AE216" i="24"/>
  <c r="AI216" i="24"/>
  <c r="X216" i="24"/>
  <c r="AA216" i="24" s="1"/>
  <c r="AB216" i="24" s="1"/>
  <c r="AC216" i="24" s="1"/>
  <c r="AI220" i="24"/>
  <c r="AE220" i="24"/>
  <c r="X220" i="24"/>
  <c r="AA220" i="24" s="1"/>
  <c r="AB220" i="24" s="1"/>
  <c r="AC220" i="24" s="1"/>
  <c r="AI287" i="24"/>
  <c r="AE287" i="24"/>
  <c r="X287" i="24"/>
  <c r="AA287" i="24" s="1"/>
  <c r="AB287" i="24" s="1"/>
  <c r="AC287" i="24" s="1"/>
  <c r="AI266" i="24"/>
  <c r="AE266" i="24"/>
  <c r="X266" i="24"/>
  <c r="AA266" i="24" s="1"/>
  <c r="AB266" i="24" s="1"/>
  <c r="AC266" i="24" s="1"/>
  <c r="V256" i="24"/>
  <c r="W256" i="24"/>
  <c r="AE316" i="24"/>
  <c r="AI316" i="24"/>
  <c r="X316" i="24"/>
  <c r="AA316" i="24" s="1"/>
  <c r="AB316" i="24" s="1"/>
  <c r="AC316" i="24" s="1"/>
  <c r="AI274" i="24"/>
  <c r="AE274" i="24"/>
  <c r="X274" i="24"/>
  <c r="AA274" i="24" s="1"/>
  <c r="AB274" i="24" s="1"/>
  <c r="AC274" i="24" s="1"/>
  <c r="AE254" i="24"/>
  <c r="AI254" i="24"/>
  <c r="X254" i="24"/>
  <c r="AA254" i="24" s="1"/>
  <c r="AB254" i="24" s="1"/>
  <c r="AC254" i="24" s="1"/>
  <c r="AE268" i="24"/>
  <c r="AI268" i="24"/>
  <c r="X268" i="24"/>
  <c r="AA268" i="24" s="1"/>
  <c r="AB268" i="24" s="1"/>
  <c r="AC268" i="24" s="1"/>
  <c r="AI219" i="24"/>
  <c r="AE219" i="24"/>
  <c r="X219" i="24"/>
  <c r="AA219" i="24" s="1"/>
  <c r="AB219" i="24" s="1"/>
  <c r="AC219" i="24" s="1"/>
  <c r="W274" i="24"/>
  <c r="V274" i="24"/>
  <c r="AI286" i="24"/>
  <c r="AE286" i="24"/>
  <c r="X286" i="24"/>
  <c r="AA286" i="24" s="1"/>
  <c r="AB286" i="24" s="1"/>
  <c r="AC286" i="24" s="1"/>
  <c r="AE235" i="24"/>
  <c r="AI235" i="24"/>
  <c r="X235" i="24"/>
  <c r="AA235" i="24" s="1"/>
  <c r="AB235" i="24" s="1"/>
  <c r="AC235" i="24" s="1"/>
  <c r="AE221" i="24"/>
  <c r="AI221" i="24"/>
  <c r="X221" i="24"/>
  <c r="AA221" i="24" s="1"/>
  <c r="AB221" i="24" s="1"/>
  <c r="AC221" i="24" s="1"/>
  <c r="V286" i="24"/>
  <c r="W286" i="24"/>
  <c r="V267" i="24"/>
  <c r="W243" i="24"/>
  <c r="V243" i="24"/>
  <c r="AI288" i="24"/>
  <c r="AE288" i="24"/>
  <c r="X288" i="24"/>
  <c r="AA288" i="24" s="1"/>
  <c r="AB288" i="24" s="1"/>
  <c r="AC288" i="24" s="1"/>
  <c r="X292" i="24"/>
  <c r="AA292" i="24" s="1"/>
  <c r="AB292" i="24" s="1"/>
  <c r="AC292" i="24" s="1"/>
  <c r="AI292" i="24"/>
  <c r="AE292" i="24"/>
  <c r="W240" i="24"/>
  <c r="Y240" i="24" s="1"/>
  <c r="AI250" i="24"/>
  <c r="AE250" i="24"/>
  <c r="X250" i="24"/>
  <c r="AA250" i="24" s="1"/>
  <c r="AB250" i="24" s="1"/>
  <c r="AC250" i="24" s="1"/>
  <c r="V262" i="24"/>
  <c r="V306" i="24"/>
  <c r="V300" i="24"/>
  <c r="W300" i="24"/>
  <c r="V247" i="24"/>
  <c r="W247" i="24"/>
  <c r="V264" i="24"/>
  <c r="W264" i="24"/>
  <c r="V235" i="24"/>
  <c r="W235" i="24"/>
  <c r="AE228" i="24"/>
  <c r="AI228" i="24"/>
  <c r="X228" i="24"/>
  <c r="AA228" i="24" s="1"/>
  <c r="AB228" i="24" s="1"/>
  <c r="AC228" i="24" s="1"/>
  <c r="V237" i="24"/>
  <c r="AE218" i="24"/>
  <c r="AI218" i="24"/>
  <c r="X218" i="24"/>
  <c r="AA218" i="24" s="1"/>
  <c r="AB218" i="24" s="1"/>
  <c r="AC218" i="24" s="1"/>
  <c r="X300" i="24"/>
  <c r="AA300" i="24" s="1"/>
  <c r="AB300" i="24" s="1"/>
  <c r="AC300" i="24" s="1"/>
  <c r="AI300" i="24"/>
  <c r="AE300" i="24"/>
  <c r="K58" i="23"/>
  <c r="M58" i="23" s="1"/>
  <c r="AE315" i="24"/>
  <c r="AI315" i="24"/>
  <c r="X315" i="24"/>
  <c r="AA315" i="24" s="1"/>
  <c r="AB315" i="24" s="1"/>
  <c r="AC315" i="24" s="1"/>
  <c r="AI271" i="24"/>
  <c r="AE271" i="24"/>
  <c r="X271" i="24"/>
  <c r="AA271" i="24" s="1"/>
  <c r="AB271" i="24" s="1"/>
  <c r="AC271" i="24" s="1"/>
  <c r="AE314" i="24"/>
  <c r="AI314" i="24"/>
  <c r="X314" i="24"/>
  <c r="AA314" i="24" s="1"/>
  <c r="AB314" i="24" s="1"/>
  <c r="AC314" i="24" s="1"/>
  <c r="AI234" i="24"/>
  <c r="AE234" i="24"/>
  <c r="X234" i="24"/>
  <c r="AA234" i="24" s="1"/>
  <c r="AB234" i="24" s="1"/>
  <c r="AC234" i="24" s="1"/>
  <c r="V308" i="24"/>
  <c r="V255" i="24"/>
  <c r="AE247" i="24"/>
  <c r="AI247" i="24"/>
  <c r="X247" i="24"/>
  <c r="AA247" i="24" s="1"/>
  <c r="AB247" i="24" s="1"/>
  <c r="AC247" i="24" s="1"/>
  <c r="AE309" i="24"/>
  <c r="AI309" i="24"/>
  <c r="X309" i="24"/>
  <c r="AA309" i="24" s="1"/>
  <c r="AB309" i="24" s="1"/>
  <c r="AC309" i="24" s="1"/>
  <c r="AI256" i="24"/>
  <c r="AE256" i="24"/>
  <c r="X256" i="24"/>
  <c r="AA256" i="24" s="1"/>
  <c r="AB256" i="24" s="1"/>
  <c r="AC256" i="24" s="1"/>
  <c r="W224" i="24"/>
  <c r="Y224" i="24" s="1"/>
  <c r="W241" i="24"/>
  <c r="Y241" i="24" s="1"/>
  <c r="W292" i="24"/>
  <c r="Y292" i="24" s="1"/>
  <c r="AI272" i="24"/>
  <c r="AE272" i="24"/>
  <c r="X272" i="24"/>
  <c r="AA272" i="24" s="1"/>
  <c r="AB272" i="24" s="1"/>
  <c r="AC272" i="24" s="1"/>
  <c r="V244" i="24"/>
  <c r="V302" i="24"/>
  <c r="W302" i="24"/>
  <c r="V222" i="24"/>
  <c r="W222" i="24"/>
  <c r="V299" i="24"/>
  <c r="V261" i="24"/>
  <c r="V218" i="24"/>
  <c r="W218" i="24"/>
  <c r="AE230" i="24"/>
  <c r="AI230" i="24"/>
  <c r="X230" i="24"/>
  <c r="AA230" i="24" s="1"/>
  <c r="AB230" i="24" s="1"/>
  <c r="AC230" i="24" s="1"/>
  <c r="AE258" i="24"/>
  <c r="AI258" i="24"/>
  <c r="X258" i="24"/>
  <c r="AA258" i="24" s="1"/>
  <c r="AB258" i="24" s="1"/>
  <c r="AC258" i="24" s="1"/>
  <c r="AI303" i="24"/>
  <c r="AE303" i="24"/>
  <c r="X303" i="24"/>
  <c r="AA303" i="24" s="1"/>
  <c r="AB303" i="24" s="1"/>
  <c r="AC303" i="24" s="1"/>
  <c r="W275" i="24"/>
  <c r="Y275" i="24" s="1"/>
  <c r="AI275" i="24"/>
  <c r="AE275" i="24"/>
  <c r="X275" i="24"/>
  <c r="AA275" i="24" s="1"/>
  <c r="AB275" i="24" s="1"/>
  <c r="AC275" i="24" s="1"/>
  <c r="AE233" i="24"/>
  <c r="AI233" i="24"/>
  <c r="X233" i="24"/>
  <c r="AA233" i="24" s="1"/>
  <c r="AB233" i="24" s="1"/>
  <c r="AC233" i="24" s="1"/>
  <c r="AE229" i="24"/>
  <c r="AI229" i="24"/>
  <c r="X229" i="24"/>
  <c r="AA229" i="24" s="1"/>
  <c r="AB229" i="24" s="1"/>
  <c r="AC229" i="24" s="1"/>
  <c r="AE304" i="24"/>
  <c r="AI304" i="24"/>
  <c r="X304" i="24"/>
  <c r="AA304" i="24" s="1"/>
  <c r="AB304" i="24" s="1"/>
  <c r="AC304" i="24" s="1"/>
  <c r="AI239" i="24"/>
  <c r="AE239" i="24"/>
  <c r="X239" i="24"/>
  <c r="AA239" i="24" s="1"/>
  <c r="AB239" i="24" s="1"/>
  <c r="AC239" i="24" s="1"/>
  <c r="AE310" i="24"/>
  <c r="AI310" i="24"/>
  <c r="X310" i="24"/>
  <c r="AA310" i="24" s="1"/>
  <c r="AB310" i="24" s="1"/>
  <c r="AC310" i="24" s="1"/>
  <c r="AE294" i="24"/>
  <c r="AI294" i="24"/>
  <c r="X294" i="24"/>
  <c r="AA294" i="24" s="1"/>
  <c r="AB294" i="24" s="1"/>
  <c r="AC294" i="24" s="1"/>
  <c r="W230" i="24"/>
  <c r="Y230" i="24" s="1"/>
  <c r="W216" i="24"/>
  <c r="Y216" i="24" s="1"/>
  <c r="W285" i="24"/>
  <c r="Y285" i="24" s="1"/>
  <c r="W221" i="24"/>
  <c r="Y221" i="24" s="1"/>
  <c r="AE227" i="24"/>
  <c r="AI227" i="24"/>
  <c r="X227" i="24"/>
  <c r="AA227" i="24" s="1"/>
  <c r="AB227" i="24" s="1"/>
  <c r="AC227" i="24" s="1"/>
  <c r="W272" i="24"/>
  <c r="Y272" i="24" s="1"/>
  <c r="AP60" i="24"/>
  <c r="AP41" i="24"/>
  <c r="AP40" i="24"/>
  <c r="AP63" i="24"/>
  <c r="AP72" i="24"/>
  <c r="AP64" i="24"/>
  <c r="AP83" i="24"/>
  <c r="AP27" i="24"/>
  <c r="AP101" i="24"/>
  <c r="AP42" i="24"/>
  <c r="AP56" i="24"/>
  <c r="AP46" i="24"/>
  <c r="AP18" i="24"/>
  <c r="AP10" i="24"/>
  <c r="AP79" i="24"/>
  <c r="AP55" i="24"/>
  <c r="AP54" i="24"/>
  <c r="AP91" i="24"/>
  <c r="AP87" i="24"/>
  <c r="AP59" i="24"/>
  <c r="AP36" i="24"/>
  <c r="AP105" i="24"/>
  <c r="AP28" i="24"/>
  <c r="V14" i="24"/>
  <c r="V48" i="24"/>
  <c r="V18" i="24"/>
  <c r="V73" i="24"/>
  <c r="V76" i="24"/>
  <c r="V60" i="24"/>
  <c r="V47" i="24"/>
  <c r="V40" i="24"/>
  <c r="V10" i="24"/>
  <c r="V83" i="24"/>
  <c r="V6" i="24"/>
  <c r="V54" i="24"/>
  <c r="V43" i="24"/>
  <c r="V91" i="24"/>
  <c r="V20" i="24"/>
  <c r="V35" i="24"/>
  <c r="V19" i="24"/>
  <c r="V26" i="24"/>
  <c r="V95" i="24"/>
  <c r="V104" i="24"/>
  <c r="V46" i="24"/>
  <c r="V92" i="24"/>
  <c r="V90" i="24"/>
  <c r="V50" i="24"/>
  <c r="V7" i="24"/>
  <c r="V103" i="24"/>
  <c r="V64" i="24"/>
  <c r="V78" i="24"/>
  <c r="V9" i="24"/>
  <c r="V38" i="24"/>
  <c r="V27" i="24"/>
  <c r="V75" i="24"/>
  <c r="V100" i="24"/>
  <c r="V41" i="24"/>
  <c r="V15" i="24"/>
  <c r="V74" i="24"/>
  <c r="V31" i="24"/>
  <c r="V79" i="24"/>
  <c r="V8" i="24"/>
  <c r="V88" i="24"/>
  <c r="V45" i="24"/>
  <c r="V30" i="24"/>
  <c r="V13" i="24"/>
  <c r="V24" i="24"/>
  <c r="K93" i="23"/>
  <c r="M93" i="23" s="1"/>
  <c r="V23" i="24"/>
  <c r="V85" i="24"/>
  <c r="V82" i="24"/>
  <c r="V62" i="24"/>
  <c r="V86" i="24"/>
  <c r="V93" i="24"/>
  <c r="V34" i="24"/>
  <c r="V53" i="24"/>
  <c r="V39" i="24"/>
  <c r="V87" i="24"/>
  <c r="V16" i="24"/>
  <c r="V96" i="24"/>
  <c r="V57" i="24"/>
  <c r="V52" i="24"/>
  <c r="V84" i="24"/>
  <c r="V33" i="24"/>
  <c r="V12" i="24"/>
  <c r="V58" i="24"/>
  <c r="W5" i="24"/>
  <c r="V5" i="24"/>
  <c r="V63" i="24"/>
  <c r="V72" i="24"/>
  <c r="V81" i="24"/>
  <c r="L57" i="23"/>
  <c r="M57" i="23" s="1"/>
  <c r="V66" i="24"/>
  <c r="V105" i="24"/>
  <c r="V28" i="24"/>
  <c r="V94" i="24"/>
  <c r="V71" i="24"/>
  <c r="V29" i="24"/>
  <c r="V21" i="24"/>
  <c r="V61" i="24"/>
  <c r="V77" i="24"/>
  <c r="V37" i="24"/>
  <c r="V68" i="24"/>
  <c r="V99" i="24"/>
  <c r="V25" i="24"/>
  <c r="V42" i="24"/>
  <c r="V67" i="24"/>
  <c r="V49" i="24"/>
  <c r="L72" i="23"/>
  <c r="M72" i="23" s="1"/>
  <c r="K65" i="23"/>
  <c r="M65" i="23" s="1"/>
  <c r="L95" i="23"/>
  <c r="M95" i="23" s="1"/>
  <c r="M11" i="23"/>
  <c r="M99" i="23"/>
  <c r="M27" i="23"/>
  <c r="M19" i="23"/>
  <c r="M56" i="23"/>
  <c r="M8" i="23"/>
  <c r="M87" i="23"/>
  <c r="M55" i="23"/>
  <c r="M75" i="23"/>
  <c r="M12" i="23"/>
  <c r="M47" i="23"/>
  <c r="M43" i="23"/>
  <c r="M6" i="23"/>
  <c r="L97" i="23"/>
  <c r="M97" i="23" s="1"/>
  <c r="K83" i="23"/>
  <c r="M83" i="23" s="1"/>
  <c r="M98" i="23"/>
  <c r="M62" i="23"/>
  <c r="M46" i="23"/>
  <c r="M76" i="23"/>
  <c r="M78" i="23"/>
  <c r="M54" i="23"/>
  <c r="M81" i="23"/>
  <c r="M85" i="23"/>
  <c r="M50" i="23"/>
  <c r="M53" i="23"/>
  <c r="M101" i="23"/>
  <c r="M45" i="23"/>
  <c r="M34" i="23"/>
  <c r="M36" i="23"/>
  <c r="M28" i="23"/>
  <c r="M9" i="23"/>
  <c r="M33" i="23"/>
  <c r="M30" i="23"/>
  <c r="M90" i="23"/>
  <c r="M10" i="23"/>
  <c r="M94" i="23"/>
  <c r="M68" i="23"/>
  <c r="M70" i="23"/>
  <c r="M106" i="23"/>
  <c r="M41" i="23"/>
  <c r="M37" i="23"/>
  <c r="M44" i="23"/>
  <c r="M32" i="23"/>
  <c r="M23" i="23"/>
  <c r="M48" i="23"/>
  <c r="M64" i="23"/>
  <c r="M15" i="23"/>
  <c r="M40" i="23"/>
  <c r="M80" i="23"/>
  <c r="M31" i="23"/>
  <c r="M91" i="23"/>
  <c r="M7" i="23"/>
  <c r="M96" i="23"/>
  <c r="M51" i="23"/>
  <c r="M71" i="23"/>
  <c r="M39" i="23"/>
  <c r="M79" i="23"/>
  <c r="M104" i="23"/>
  <c r="M59" i="23"/>
  <c r="M16" i="23"/>
  <c r="M35" i="23"/>
  <c r="M18" i="23"/>
  <c r="M105" i="23"/>
  <c r="M86" i="23"/>
  <c r="M52" i="23"/>
  <c r="M89" i="23"/>
  <c r="M38" i="23"/>
  <c r="M25" i="23"/>
  <c r="M61" i="23"/>
  <c r="M82" i="23"/>
  <c r="M14" i="23"/>
  <c r="M29" i="23"/>
  <c r="M69" i="23"/>
  <c r="M17" i="23"/>
  <c r="M21" i="23"/>
  <c r="M22" i="23"/>
  <c r="M92" i="23"/>
  <c r="M73" i="23"/>
  <c r="M13" i="23"/>
  <c r="M102" i="23"/>
  <c r="M26" i="23"/>
  <c r="B196" i="2"/>
  <c r="A237" i="2"/>
  <c r="D42" i="16"/>
  <c r="B197" i="2"/>
  <c r="D43" i="16"/>
  <c r="H212" i="24" l="1"/>
  <c r="AM212" i="24"/>
  <c r="U212" i="24"/>
  <c r="S212" i="24"/>
  <c r="T212" i="24" s="1"/>
  <c r="Q212" i="24"/>
  <c r="CE5" i="25"/>
  <c r="CE6" i="25"/>
  <c r="CE7" i="25"/>
  <c r="CE35" i="25"/>
  <c r="CE49" i="25"/>
  <c r="CE104" i="25"/>
  <c r="CE42" i="25"/>
  <c r="CE19" i="25"/>
  <c r="CE66" i="25"/>
  <c r="CE43" i="25"/>
  <c r="CE86" i="25"/>
  <c r="CE21" i="25"/>
  <c r="CE39" i="25"/>
  <c r="CE101" i="25"/>
  <c r="CE36" i="25"/>
  <c r="CE18" i="25"/>
  <c r="CE53" i="25"/>
  <c r="CE90" i="25"/>
  <c r="CE51" i="25"/>
  <c r="CE69" i="25"/>
  <c r="CE12" i="25"/>
  <c r="CE28" i="25"/>
  <c r="CE10" i="25"/>
  <c r="CE79" i="25"/>
  <c r="CE33" i="25"/>
  <c r="CE16" i="25"/>
  <c r="CE9" i="25"/>
  <c r="CE38" i="25"/>
  <c r="CE24" i="25"/>
  <c r="CE11" i="25"/>
  <c r="CE15" i="25"/>
  <c r="CE22" i="25"/>
  <c r="CE26" i="25"/>
  <c r="CE27" i="25"/>
  <c r="CE75" i="25"/>
  <c r="CE30" i="25"/>
  <c r="CE72" i="25"/>
  <c r="CE77" i="25"/>
  <c r="CE8" i="25"/>
  <c r="CE23" i="25"/>
  <c r="CE34" i="25"/>
  <c r="CE76" i="25"/>
  <c r="CE17" i="25"/>
  <c r="CE99" i="25"/>
  <c r="CD153" i="24"/>
  <c r="CE110" i="24"/>
  <c r="CE216" i="24"/>
  <c r="CE242" i="24"/>
  <c r="CE281" i="24"/>
  <c r="CE254" i="24"/>
  <c r="CE137" i="24"/>
  <c r="CE226" i="24"/>
  <c r="CE277" i="24"/>
  <c r="CE238" i="24"/>
  <c r="CE133" i="24"/>
  <c r="CE217" i="24"/>
  <c r="CE291" i="24"/>
  <c r="CE121" i="24"/>
  <c r="CE131" i="24"/>
  <c r="CE305" i="24"/>
  <c r="CE241" i="24"/>
  <c r="CE278" i="24"/>
  <c r="CE316" i="24"/>
  <c r="CE252" i="24"/>
  <c r="CE271" i="24"/>
  <c r="CE294" i="24"/>
  <c r="CE265" i="24"/>
  <c r="CE276" i="24"/>
  <c r="CE298" i="24"/>
  <c r="CE115" i="24"/>
  <c r="CE293" i="24"/>
  <c r="CE288" i="24"/>
  <c r="CE136" i="24"/>
  <c r="CE310" i="24"/>
  <c r="CE285" i="24"/>
  <c r="CE221" i="24"/>
  <c r="CE296" i="24"/>
  <c r="CE232" i="24"/>
  <c r="CE143" i="24"/>
  <c r="CE315" i="24"/>
  <c r="CE251" i="24"/>
  <c r="CE260" i="24"/>
  <c r="CE258" i="24"/>
  <c r="CE189" i="24"/>
  <c r="CE279" i="24"/>
  <c r="CE273" i="24"/>
  <c r="CE274" i="24"/>
  <c r="CE303" i="24"/>
  <c r="CE239" i="24"/>
  <c r="CE306" i="24"/>
  <c r="CE153" i="24"/>
  <c r="CE161" i="24"/>
  <c r="CE156" i="24"/>
  <c r="CE263" i="24"/>
  <c r="CE229" i="24"/>
  <c r="CE224" i="24"/>
  <c r="CE275" i="24"/>
  <c r="CE264" i="24"/>
  <c r="CE113" i="24"/>
  <c r="CE249" i="24"/>
  <c r="CE292" i="24"/>
  <c r="CE311" i="24"/>
  <c r="CE245" i="24"/>
  <c r="CE304" i="24"/>
  <c r="CE246" i="24"/>
  <c r="CE259" i="24"/>
  <c r="CE262" i="24"/>
  <c r="CE289" i="24"/>
  <c r="CE225" i="24"/>
  <c r="CE230" i="24"/>
  <c r="CE300" i="24"/>
  <c r="CE236" i="24"/>
  <c r="CE314" i="24"/>
  <c r="CE130" i="24"/>
  <c r="CE196" i="24"/>
  <c r="CE132" i="24"/>
  <c r="CE255" i="24"/>
  <c r="CE233" i="24"/>
  <c r="CE244" i="24"/>
  <c r="CE295" i="24"/>
  <c r="CE282" i="24"/>
  <c r="CE261" i="24"/>
  <c r="CE256" i="24"/>
  <c r="CE286" i="24"/>
  <c r="CE307" i="24"/>
  <c r="CE250" i="24"/>
  <c r="CE269" i="24"/>
  <c r="CE116" i="24"/>
  <c r="CE280" i="24"/>
  <c r="CE302" i="24"/>
  <c r="CE126" i="24"/>
  <c r="CE299" i="24"/>
  <c r="CE235" i="24"/>
  <c r="CE272" i="24"/>
  <c r="CE227" i="24"/>
  <c r="CE284" i="24"/>
  <c r="CE220" i="24"/>
  <c r="CE218" i="24"/>
  <c r="CE253" i="24"/>
  <c r="CE163" i="24"/>
  <c r="CE112" i="24"/>
  <c r="CE111" i="24"/>
  <c r="CE127" i="24"/>
  <c r="CE290" i="24"/>
  <c r="CE243" i="24"/>
  <c r="CE301" i="24"/>
  <c r="CE312" i="24"/>
  <c r="CE270" i="24"/>
  <c r="CE144" i="24"/>
  <c r="CE309" i="24"/>
  <c r="CE234" i="24"/>
  <c r="CE308" i="24"/>
  <c r="CE118" i="24"/>
  <c r="CE237" i="24"/>
  <c r="CE248" i="24"/>
  <c r="CE222" i="24"/>
  <c r="CE283" i="24"/>
  <c r="CE313" i="24"/>
  <c r="CE247" i="24"/>
  <c r="CE240" i="24"/>
  <c r="CE134" i="24"/>
  <c r="CE145" i="24"/>
  <c r="CE114" i="24"/>
  <c r="CE287" i="24"/>
  <c r="CE125" i="24"/>
  <c r="CE297" i="24"/>
  <c r="CE231" i="24"/>
  <c r="CE124" i="24"/>
  <c r="CE162" i="24"/>
  <c r="CE267" i="24"/>
  <c r="CE228" i="24"/>
  <c r="CE257" i="24"/>
  <c r="CE123" i="24"/>
  <c r="CE268" i="24"/>
  <c r="CE177" i="24"/>
  <c r="CE223" i="24"/>
  <c r="CE171" i="24"/>
  <c r="CE120" i="24"/>
  <c r="CE266" i="24"/>
  <c r="CE219" i="24"/>
  <c r="AT173" i="24"/>
  <c r="BA173" i="24" s="1"/>
  <c r="AT135" i="24"/>
  <c r="BA135" i="24" s="1"/>
  <c r="AT138" i="24"/>
  <c r="BA138" i="24" s="1"/>
  <c r="AT118" i="24"/>
  <c r="BA118" i="24" s="1"/>
  <c r="AT202" i="24"/>
  <c r="BA202" i="24" s="1"/>
  <c r="AT164" i="24"/>
  <c r="BA164" i="24" s="1"/>
  <c r="AT129" i="24"/>
  <c r="BA129" i="24" s="1"/>
  <c r="AT140" i="24"/>
  <c r="BA140" i="24" s="1"/>
  <c r="AT178" i="24"/>
  <c r="BA178" i="24" s="1"/>
  <c r="AT175" i="24"/>
  <c r="BA175" i="24" s="1"/>
  <c r="AT180" i="24"/>
  <c r="BA180" i="24" s="1"/>
  <c r="AT126" i="24"/>
  <c r="BA126" i="24" s="1"/>
  <c r="AT124" i="24"/>
  <c r="BA124" i="24" s="1"/>
  <c r="AT200" i="24"/>
  <c r="BA200" i="24" s="1"/>
  <c r="AT160" i="24"/>
  <c r="BA160" i="24" s="1"/>
  <c r="AI253" i="24"/>
  <c r="AJ253" i="24" s="1"/>
  <c r="AT253" i="24" s="1"/>
  <c r="BA253" i="24" s="1"/>
  <c r="W253" i="24"/>
  <c r="Y253" i="24" s="1"/>
  <c r="AE253" i="24"/>
  <c r="AG253" i="24" s="1"/>
  <c r="X277" i="24"/>
  <c r="AA277" i="24" s="1"/>
  <c r="AB277" i="24" s="1"/>
  <c r="AC277" i="24" s="1"/>
  <c r="AE305" i="24"/>
  <c r="AG305" i="24" s="1"/>
  <c r="AE130" i="24"/>
  <c r="AF130" i="24" s="1"/>
  <c r="W305" i="24"/>
  <c r="Y305" i="24" s="1"/>
  <c r="AI305" i="24"/>
  <c r="AJ305" i="24" s="1"/>
  <c r="AT305" i="24" s="1"/>
  <c r="BA305" i="24" s="1"/>
  <c r="X190" i="24"/>
  <c r="AA190" i="24" s="1"/>
  <c r="AB190" i="24" s="1"/>
  <c r="AC190" i="24" s="1"/>
  <c r="AJ190" i="24" s="1"/>
  <c r="AE190" i="24"/>
  <c r="AF190" i="24" s="1"/>
  <c r="W190" i="24"/>
  <c r="Y190" i="24" s="1"/>
  <c r="AI277" i="24"/>
  <c r="W277" i="24"/>
  <c r="Y277" i="24" s="1"/>
  <c r="X280" i="24"/>
  <c r="AA280" i="24" s="1"/>
  <c r="AB280" i="24" s="1"/>
  <c r="AC280" i="24" s="1"/>
  <c r="X260" i="24"/>
  <c r="AA260" i="24" s="1"/>
  <c r="AB260" i="24" s="1"/>
  <c r="AC260" i="24" s="1"/>
  <c r="AE226" i="24"/>
  <c r="AF226" i="24" s="1"/>
  <c r="X248" i="24"/>
  <c r="AA248" i="24" s="1"/>
  <c r="AB248" i="24" s="1"/>
  <c r="AC248" i="24" s="1"/>
  <c r="AE193" i="24"/>
  <c r="X244" i="24"/>
  <c r="AA244" i="24" s="1"/>
  <c r="AB244" i="24" s="1"/>
  <c r="AC244" i="24" s="1"/>
  <c r="X299" i="24"/>
  <c r="AA299" i="24" s="1"/>
  <c r="AB299" i="24" s="1"/>
  <c r="AC299" i="24" s="1"/>
  <c r="AJ299" i="24" s="1"/>
  <c r="AT299" i="24" s="1"/>
  <c r="BA299" i="24" s="1"/>
  <c r="AI248" i="24"/>
  <c r="W248" i="24"/>
  <c r="Y248" i="24" s="1"/>
  <c r="AE244" i="24"/>
  <c r="AF244" i="24" s="1"/>
  <c r="AI244" i="24"/>
  <c r="X193" i="24"/>
  <c r="AA193" i="24" s="1"/>
  <c r="AB193" i="24" s="1"/>
  <c r="AC193" i="24" s="1"/>
  <c r="AJ193" i="24" s="1"/>
  <c r="AI281" i="24"/>
  <c r="AJ281" i="24" s="1"/>
  <c r="AT281" i="24" s="1"/>
  <c r="BA281" i="24" s="1"/>
  <c r="AI262" i="24"/>
  <c r="AI217" i="24"/>
  <c r="AJ217" i="24" s="1"/>
  <c r="AT217" i="24" s="1"/>
  <c r="BA217" i="24" s="1"/>
  <c r="X283" i="24"/>
  <c r="AA283" i="24" s="1"/>
  <c r="AB283" i="24" s="1"/>
  <c r="AC283" i="24" s="1"/>
  <c r="W280" i="24"/>
  <c r="Y280" i="24" s="1"/>
  <c r="AE171" i="24"/>
  <c r="AF171" i="24" s="1"/>
  <c r="AE281" i="24"/>
  <c r="AG281" i="24" s="1"/>
  <c r="W283" i="24"/>
  <c r="Y283" i="24" s="1"/>
  <c r="AE217" i="24"/>
  <c r="AF217" i="24" s="1"/>
  <c r="X132" i="24"/>
  <c r="AA132" i="24" s="1"/>
  <c r="AB132" i="24" s="1"/>
  <c r="AC132" i="24" s="1"/>
  <c r="AJ132" i="24" s="1"/>
  <c r="AI278" i="24"/>
  <c r="AJ278" i="24" s="1"/>
  <c r="AT278" i="24" s="1"/>
  <c r="BA278" i="24" s="1"/>
  <c r="AI257" i="24"/>
  <c r="AE290" i="24"/>
  <c r="AF290" i="24" s="1"/>
  <c r="X289" i="24"/>
  <c r="AA289" i="24" s="1"/>
  <c r="AB289" i="24" s="1"/>
  <c r="AC289" i="24" s="1"/>
  <c r="W282" i="24"/>
  <c r="Y282" i="24" s="1"/>
  <c r="AE132" i="24"/>
  <c r="W156" i="24"/>
  <c r="Y156" i="24" s="1"/>
  <c r="W226" i="24"/>
  <c r="Y226" i="24" s="1"/>
  <c r="W217" i="24"/>
  <c r="Y217" i="24" s="1"/>
  <c r="W262" i="24"/>
  <c r="Y262" i="24" s="1"/>
  <c r="X226" i="24"/>
  <c r="AA226" i="24" s="1"/>
  <c r="AB226" i="24" s="1"/>
  <c r="AC226" i="24" s="1"/>
  <c r="AJ226" i="24" s="1"/>
  <c r="AT226" i="24" s="1"/>
  <c r="BA226" i="24" s="1"/>
  <c r="X171" i="24"/>
  <c r="AA171" i="24" s="1"/>
  <c r="AB171" i="24" s="1"/>
  <c r="AC171" i="24" s="1"/>
  <c r="AJ171" i="24" s="1"/>
  <c r="AI280" i="24"/>
  <c r="X262" i="24"/>
  <c r="AA262" i="24" s="1"/>
  <c r="AB262" i="24" s="1"/>
  <c r="AC262" i="24" s="1"/>
  <c r="AI283" i="24"/>
  <c r="W132" i="24"/>
  <c r="Y132" i="24" s="1"/>
  <c r="W281" i="24"/>
  <c r="Y281" i="24" s="1"/>
  <c r="X242" i="24"/>
  <c r="AA242" i="24" s="1"/>
  <c r="AB242" i="24" s="1"/>
  <c r="AC242" i="24" s="1"/>
  <c r="AJ242" i="24" s="1"/>
  <c r="AT242" i="24" s="1"/>
  <c r="BA242" i="24" s="1"/>
  <c r="W171" i="24"/>
  <c r="Y171" i="24" s="1"/>
  <c r="AE311" i="24"/>
  <c r="AF311" i="24" s="1"/>
  <c r="AI237" i="24"/>
  <c r="AJ237" i="24" s="1"/>
  <c r="AT237" i="24" s="1"/>
  <c r="BA237" i="24" s="1"/>
  <c r="X191" i="24"/>
  <c r="AA191" i="24" s="1"/>
  <c r="AB191" i="24" s="1"/>
  <c r="AC191" i="24" s="1"/>
  <c r="AJ191" i="24" s="1"/>
  <c r="X269" i="24"/>
  <c r="AA269" i="24" s="1"/>
  <c r="AB269" i="24" s="1"/>
  <c r="AC269" i="24" s="1"/>
  <c r="AJ269" i="24" s="1"/>
  <c r="AT269" i="24" s="1"/>
  <c r="BA269" i="24" s="1"/>
  <c r="W311" i="24"/>
  <c r="Y311" i="24" s="1"/>
  <c r="W252" i="24"/>
  <c r="Y252" i="24" s="1"/>
  <c r="W158" i="24"/>
  <c r="Y158" i="24" s="1"/>
  <c r="AI289" i="24"/>
  <c r="X290" i="24"/>
  <c r="AA290" i="24" s="1"/>
  <c r="AB290" i="24" s="1"/>
  <c r="AC290" i="24" s="1"/>
  <c r="AJ290" i="24" s="1"/>
  <c r="AT290" i="24" s="1"/>
  <c r="BA290" i="24" s="1"/>
  <c r="AE260" i="24"/>
  <c r="AI282" i="24"/>
  <c r="X158" i="24"/>
  <c r="AA158" i="24" s="1"/>
  <c r="AB158" i="24" s="1"/>
  <c r="AC158" i="24" s="1"/>
  <c r="AJ158" i="24" s="1"/>
  <c r="X147" i="24"/>
  <c r="AA147" i="24" s="1"/>
  <c r="AB147" i="24" s="1"/>
  <c r="AC147" i="24" s="1"/>
  <c r="AJ147" i="24" s="1"/>
  <c r="X185" i="24"/>
  <c r="AA185" i="24" s="1"/>
  <c r="AB185" i="24" s="1"/>
  <c r="AC185" i="24" s="1"/>
  <c r="AJ185" i="24" s="1"/>
  <c r="X130" i="24"/>
  <c r="AA130" i="24" s="1"/>
  <c r="AB130" i="24" s="1"/>
  <c r="AC130" i="24" s="1"/>
  <c r="AJ130" i="24" s="1"/>
  <c r="W278" i="24"/>
  <c r="Y278" i="24" s="1"/>
  <c r="AE289" i="24"/>
  <c r="W237" i="24"/>
  <c r="Y237" i="24" s="1"/>
  <c r="AI311" i="24"/>
  <c r="AJ311" i="24" s="1"/>
  <c r="AT311" i="24" s="1"/>
  <c r="BA311" i="24" s="1"/>
  <c r="X282" i="24"/>
  <c r="AA282" i="24" s="1"/>
  <c r="AB282" i="24" s="1"/>
  <c r="AC282" i="24" s="1"/>
  <c r="AE204" i="24"/>
  <c r="AF204" i="24" s="1"/>
  <c r="W290" i="24"/>
  <c r="Y290" i="24" s="1"/>
  <c r="AI260" i="24"/>
  <c r="AI308" i="24"/>
  <c r="AJ308" i="24" s="1"/>
  <c r="AT308" i="24" s="1"/>
  <c r="BA308" i="24" s="1"/>
  <c r="X257" i="24"/>
  <c r="AA257" i="24" s="1"/>
  <c r="AB257" i="24" s="1"/>
  <c r="AC257" i="24" s="1"/>
  <c r="W147" i="24"/>
  <c r="Y147" i="24" s="1"/>
  <c r="AE147" i="24"/>
  <c r="W130" i="24"/>
  <c r="Y130" i="24" s="1"/>
  <c r="W265" i="24"/>
  <c r="Y265" i="24" s="1"/>
  <c r="AE312" i="24"/>
  <c r="AF312" i="24" s="1"/>
  <c r="AE265" i="24"/>
  <c r="AF265" i="24" s="1"/>
  <c r="W166" i="24"/>
  <c r="Y166" i="24" s="1"/>
  <c r="X117" i="24"/>
  <c r="AA117" i="24" s="1"/>
  <c r="AB117" i="24" s="1"/>
  <c r="AC117" i="24" s="1"/>
  <c r="AJ117" i="24" s="1"/>
  <c r="AE191" i="24"/>
  <c r="AE158" i="24"/>
  <c r="AF158" i="24" s="1"/>
  <c r="AE151" i="24"/>
  <c r="AF151" i="24" s="1"/>
  <c r="W193" i="24"/>
  <c r="Y193" i="24" s="1"/>
  <c r="AE176" i="24"/>
  <c r="AF176" i="24" s="1"/>
  <c r="X198" i="24"/>
  <c r="AA198" i="24" s="1"/>
  <c r="AB198" i="24" s="1"/>
  <c r="AC198" i="24" s="1"/>
  <c r="AJ198" i="24" s="1"/>
  <c r="W191" i="24"/>
  <c r="Y191" i="24" s="1"/>
  <c r="X265" i="24"/>
  <c r="AA265" i="24" s="1"/>
  <c r="AB265" i="24" s="1"/>
  <c r="AC265" i="24" s="1"/>
  <c r="AJ265" i="24" s="1"/>
  <c r="AT265" i="24" s="1"/>
  <c r="BA265" i="24" s="1"/>
  <c r="W168" i="24"/>
  <c r="Y168" i="24" s="1"/>
  <c r="W146" i="24"/>
  <c r="Y146" i="24" s="1"/>
  <c r="AI312" i="24"/>
  <c r="X298" i="24"/>
  <c r="AA298" i="24" s="1"/>
  <c r="AB298" i="24" s="1"/>
  <c r="AC298" i="24" s="1"/>
  <c r="AI195" i="24"/>
  <c r="AE133" i="24"/>
  <c r="AF133" i="24" s="1"/>
  <c r="X261" i="24"/>
  <c r="AA261" i="24" s="1"/>
  <c r="AB261" i="24" s="1"/>
  <c r="AC261" i="24" s="1"/>
  <c r="W133" i="24"/>
  <c r="Y133" i="24" s="1"/>
  <c r="AE114" i="24"/>
  <c r="AI153" i="24"/>
  <c r="W232" i="24"/>
  <c r="Y232" i="24" s="1"/>
  <c r="AI270" i="24"/>
  <c r="X312" i="24"/>
  <c r="AA312" i="24" s="1"/>
  <c r="AB312" i="24" s="1"/>
  <c r="AC312" i="24" s="1"/>
  <c r="W139" i="24"/>
  <c r="Y139" i="24" s="1"/>
  <c r="AE291" i="24"/>
  <c r="AF291" i="24" s="1"/>
  <c r="AE299" i="24"/>
  <c r="AF299" i="24" s="1"/>
  <c r="AE278" i="24"/>
  <c r="AG278" i="24" s="1"/>
  <c r="W299" i="24"/>
  <c r="Y299" i="24" s="1"/>
  <c r="X291" i="24"/>
  <c r="AA291" i="24" s="1"/>
  <c r="AB291" i="24" s="1"/>
  <c r="AC291" i="24" s="1"/>
  <c r="AJ291" i="24" s="1"/>
  <c r="AT291" i="24" s="1"/>
  <c r="BA291" i="24" s="1"/>
  <c r="X252" i="24"/>
  <c r="AA252" i="24" s="1"/>
  <c r="AB252" i="24" s="1"/>
  <c r="AC252" i="24" s="1"/>
  <c r="AJ252" i="24" s="1"/>
  <c r="AT252" i="24" s="1"/>
  <c r="BA252" i="24" s="1"/>
  <c r="AE237" i="24"/>
  <c r="AG237" i="24" s="1"/>
  <c r="AE257" i="24"/>
  <c r="AF257" i="24" s="1"/>
  <c r="W204" i="24"/>
  <c r="Y204" i="24" s="1"/>
  <c r="W176" i="24"/>
  <c r="Y176" i="24" s="1"/>
  <c r="W185" i="24"/>
  <c r="Y185" i="24" s="1"/>
  <c r="X176" i="24"/>
  <c r="AA176" i="24" s="1"/>
  <c r="AB176" i="24" s="1"/>
  <c r="AC176" i="24" s="1"/>
  <c r="AJ176" i="24" s="1"/>
  <c r="AE198" i="24"/>
  <c r="AF198" i="24" s="1"/>
  <c r="W291" i="24"/>
  <c r="Y291" i="24" s="1"/>
  <c r="W267" i="24"/>
  <c r="Y267" i="24" s="1"/>
  <c r="X267" i="24"/>
  <c r="AA267" i="24" s="1"/>
  <c r="AB267" i="24" s="1"/>
  <c r="AC267" i="24" s="1"/>
  <c r="AJ267" i="24" s="1"/>
  <c r="AT267" i="24" s="1"/>
  <c r="BA267" i="24" s="1"/>
  <c r="AI238" i="24"/>
  <c r="AJ238" i="24" s="1"/>
  <c r="AT238" i="24" s="1"/>
  <c r="BA238" i="24" s="1"/>
  <c r="AI246" i="24"/>
  <c r="AJ246" i="24" s="1"/>
  <c r="AT246" i="24" s="1"/>
  <c r="BA246" i="24" s="1"/>
  <c r="X166" i="24"/>
  <c r="AA166" i="24" s="1"/>
  <c r="AB166" i="24" s="1"/>
  <c r="AC166" i="24" s="1"/>
  <c r="AJ166" i="24" s="1"/>
  <c r="W151" i="24"/>
  <c r="Y151" i="24" s="1"/>
  <c r="X120" i="24"/>
  <c r="AA120" i="24" s="1"/>
  <c r="AB120" i="24" s="1"/>
  <c r="AC120" i="24" s="1"/>
  <c r="AJ120" i="24" s="1"/>
  <c r="AE185" i="24"/>
  <c r="AF185" i="24" s="1"/>
  <c r="W198" i="24"/>
  <c r="Y198" i="24" s="1"/>
  <c r="AE232" i="24"/>
  <c r="AF232" i="24" s="1"/>
  <c r="X143" i="24"/>
  <c r="AA143" i="24" s="1"/>
  <c r="AB143" i="24" s="1"/>
  <c r="AC143" i="24" s="1"/>
  <c r="AJ143" i="24" s="1"/>
  <c r="AE209" i="24"/>
  <c r="AF209" i="24" s="1"/>
  <c r="W153" i="24"/>
  <c r="Y153" i="24" s="1"/>
  <c r="AE139" i="24"/>
  <c r="AF139" i="24" s="1"/>
  <c r="AI298" i="24"/>
  <c r="W261" i="24"/>
  <c r="Y261" i="24" s="1"/>
  <c r="X231" i="24"/>
  <c r="AA231" i="24" s="1"/>
  <c r="AB231" i="24" s="1"/>
  <c r="AC231" i="24" s="1"/>
  <c r="AJ231" i="24" s="1"/>
  <c r="AT231" i="24" s="1"/>
  <c r="BA231" i="24" s="1"/>
  <c r="AI261" i="24"/>
  <c r="W270" i="24"/>
  <c r="Y270" i="24" s="1"/>
  <c r="X195" i="24"/>
  <c r="AA195" i="24" s="1"/>
  <c r="AB195" i="24" s="1"/>
  <c r="AC195" i="24" s="1"/>
  <c r="X146" i="24"/>
  <c r="AA146" i="24" s="1"/>
  <c r="AB146" i="24" s="1"/>
  <c r="AC146" i="24" s="1"/>
  <c r="AJ146" i="24" s="1"/>
  <c r="W114" i="24"/>
  <c r="Y114" i="24" s="1"/>
  <c r="AE231" i="24"/>
  <c r="AF231" i="24" s="1"/>
  <c r="W231" i="24"/>
  <c r="Y231" i="24" s="1"/>
  <c r="X270" i="24"/>
  <c r="AA270" i="24" s="1"/>
  <c r="AB270" i="24" s="1"/>
  <c r="AC270" i="24" s="1"/>
  <c r="X168" i="24"/>
  <c r="AA168" i="24" s="1"/>
  <c r="AB168" i="24" s="1"/>
  <c r="AC168" i="24" s="1"/>
  <c r="AJ168" i="24" s="1"/>
  <c r="AE146" i="24"/>
  <c r="AF146" i="24" s="1"/>
  <c r="W195" i="24"/>
  <c r="Y195" i="24" s="1"/>
  <c r="W209" i="24"/>
  <c r="Y209" i="24" s="1"/>
  <c r="X139" i="24"/>
  <c r="AA139" i="24" s="1"/>
  <c r="AB139" i="24" s="1"/>
  <c r="AC139" i="24" s="1"/>
  <c r="AJ139" i="24" s="1"/>
  <c r="X232" i="24"/>
  <c r="AA232" i="24" s="1"/>
  <c r="AB232" i="24" s="1"/>
  <c r="AC232" i="24" s="1"/>
  <c r="AJ232" i="24" s="1"/>
  <c r="AT232" i="24" s="1"/>
  <c r="BA232" i="24" s="1"/>
  <c r="W143" i="24"/>
  <c r="Y143" i="24" s="1"/>
  <c r="AE143" i="24"/>
  <c r="AF143" i="24" s="1"/>
  <c r="X133" i="24"/>
  <c r="AA133" i="24" s="1"/>
  <c r="AB133" i="24" s="1"/>
  <c r="AC133" i="24" s="1"/>
  <c r="AJ133" i="24" s="1"/>
  <c r="X114" i="24"/>
  <c r="AA114" i="24" s="1"/>
  <c r="AB114" i="24" s="1"/>
  <c r="AC114" i="24" s="1"/>
  <c r="AJ114" i="24" s="1"/>
  <c r="X153" i="24"/>
  <c r="AA153" i="24" s="1"/>
  <c r="AB153" i="24" s="1"/>
  <c r="AC153" i="24" s="1"/>
  <c r="AE249" i="24"/>
  <c r="AG249" i="24" s="1"/>
  <c r="AI306" i="24"/>
  <c r="AE238" i="24"/>
  <c r="AG238" i="24" s="1"/>
  <c r="AE225" i="24"/>
  <c r="AE117" i="24"/>
  <c r="AF117" i="24" s="1"/>
  <c r="AI313" i="24"/>
  <c r="AJ313" i="24" s="1"/>
  <c r="AT313" i="24" s="1"/>
  <c r="BA313" i="24" s="1"/>
  <c r="W308" i="24"/>
  <c r="Y308" i="24" s="1"/>
  <c r="W269" i="24"/>
  <c r="Y269" i="24" s="1"/>
  <c r="X276" i="24"/>
  <c r="AA276" i="24" s="1"/>
  <c r="AB276" i="24" s="1"/>
  <c r="AC276" i="24" s="1"/>
  <c r="AE263" i="24"/>
  <c r="X204" i="24"/>
  <c r="AA204" i="24" s="1"/>
  <c r="AB204" i="24" s="1"/>
  <c r="AC204" i="24" s="1"/>
  <c r="AJ204" i="24" s="1"/>
  <c r="AE166" i="24"/>
  <c r="X151" i="24"/>
  <c r="AA151" i="24" s="1"/>
  <c r="AB151" i="24" s="1"/>
  <c r="AC151" i="24" s="1"/>
  <c r="AJ151" i="24" s="1"/>
  <c r="W117" i="24"/>
  <c r="Y117" i="24" s="1"/>
  <c r="AE313" i="24"/>
  <c r="AG313" i="24" s="1"/>
  <c r="W276" i="24"/>
  <c r="Y276" i="24" s="1"/>
  <c r="W263" i="24"/>
  <c r="Y263" i="24" s="1"/>
  <c r="AE246" i="24"/>
  <c r="AG246" i="24" s="1"/>
  <c r="X296" i="24"/>
  <c r="AA296" i="24" s="1"/>
  <c r="AB296" i="24" s="1"/>
  <c r="AC296" i="24" s="1"/>
  <c r="AJ296" i="24" s="1"/>
  <c r="AT296" i="24" s="1"/>
  <c r="BA296" i="24" s="1"/>
  <c r="W249" i="24"/>
  <c r="Y249" i="24" s="1"/>
  <c r="X144" i="24"/>
  <c r="AA144" i="24" s="1"/>
  <c r="AB144" i="24" s="1"/>
  <c r="AC144" i="24" s="1"/>
  <c r="AJ144" i="24" s="1"/>
  <c r="W313" i="24"/>
  <c r="Y313" i="24" s="1"/>
  <c r="AI276" i="24"/>
  <c r="AE284" i="24"/>
  <c r="AF284" i="24" s="1"/>
  <c r="X263" i="24"/>
  <c r="AA263" i="24" s="1"/>
  <c r="AB263" i="24" s="1"/>
  <c r="AC263" i="24" s="1"/>
  <c r="AJ263" i="24" s="1"/>
  <c r="AT263" i="24" s="1"/>
  <c r="BA263" i="24" s="1"/>
  <c r="AE255" i="24"/>
  <c r="AF255" i="24" s="1"/>
  <c r="X225" i="24"/>
  <c r="AA225" i="24" s="1"/>
  <c r="AB225" i="24" s="1"/>
  <c r="AC225" i="24" s="1"/>
  <c r="W296" i="24"/>
  <c r="Y296" i="24" s="1"/>
  <c r="AE296" i="24"/>
  <c r="AF296" i="24" s="1"/>
  <c r="W284" i="24"/>
  <c r="Y284" i="24" s="1"/>
  <c r="AE156" i="24"/>
  <c r="AF156" i="24" s="1"/>
  <c r="AE144" i="24"/>
  <c r="AF144" i="24" s="1"/>
  <c r="X189" i="24"/>
  <c r="AA189" i="24" s="1"/>
  <c r="AB189" i="24" s="1"/>
  <c r="AC189" i="24" s="1"/>
  <c r="AJ189" i="24" s="1"/>
  <c r="AI249" i="24"/>
  <c r="AJ249" i="24" s="1"/>
  <c r="AT249" i="24" s="1"/>
  <c r="BA249" i="24" s="1"/>
  <c r="X284" i="24"/>
  <c r="AA284" i="24" s="1"/>
  <c r="AB284" i="24" s="1"/>
  <c r="AC284" i="24" s="1"/>
  <c r="AJ284" i="24" s="1"/>
  <c r="AT284" i="24" s="1"/>
  <c r="BA284" i="24" s="1"/>
  <c r="AI295" i="24"/>
  <c r="AJ295" i="24" s="1"/>
  <c r="AT295" i="24" s="1"/>
  <c r="BA295" i="24" s="1"/>
  <c r="W246" i="24"/>
  <c r="Y246" i="24" s="1"/>
  <c r="AI225" i="24"/>
  <c r="X156" i="24"/>
  <c r="AA156" i="24" s="1"/>
  <c r="AB156" i="24" s="1"/>
  <c r="AC156" i="24" s="1"/>
  <c r="AJ156" i="24" s="1"/>
  <c r="W144" i="24"/>
  <c r="Y144" i="24" s="1"/>
  <c r="AE194" i="24"/>
  <c r="AF194" i="24" s="1"/>
  <c r="AE295" i="24"/>
  <c r="AG295" i="24" s="1"/>
  <c r="AE242" i="24"/>
  <c r="W242" i="24"/>
  <c r="Y242" i="24" s="1"/>
  <c r="W145" i="24"/>
  <c r="Y145" i="24" s="1"/>
  <c r="AE189" i="24"/>
  <c r="W295" i="24"/>
  <c r="Y295" i="24" s="1"/>
  <c r="W255" i="24"/>
  <c r="Y255" i="24" s="1"/>
  <c r="W306" i="24"/>
  <c r="Y306" i="24" s="1"/>
  <c r="AE252" i="24"/>
  <c r="AF252" i="24" s="1"/>
  <c r="X306" i="24"/>
  <c r="AA306" i="24" s="1"/>
  <c r="AB306" i="24" s="1"/>
  <c r="AC306" i="24" s="1"/>
  <c r="AE308" i="24"/>
  <c r="AF308" i="24" s="1"/>
  <c r="AE267" i="24"/>
  <c r="AF267" i="24" s="1"/>
  <c r="X255" i="24"/>
  <c r="AA255" i="24" s="1"/>
  <c r="AB255" i="24" s="1"/>
  <c r="AC255" i="24" s="1"/>
  <c r="AJ255" i="24" s="1"/>
  <c r="AT255" i="24" s="1"/>
  <c r="BA255" i="24" s="1"/>
  <c r="AE269" i="24"/>
  <c r="AE113" i="24"/>
  <c r="AF113" i="24" s="1"/>
  <c r="AE120" i="24"/>
  <c r="AF120" i="24" s="1"/>
  <c r="AE174" i="24"/>
  <c r="W298" i="24"/>
  <c r="Y298" i="24" s="1"/>
  <c r="W238" i="24"/>
  <c r="Y238" i="24" s="1"/>
  <c r="W113" i="24"/>
  <c r="Y113" i="24" s="1"/>
  <c r="AE168" i="24"/>
  <c r="X113" i="24"/>
  <c r="AA113" i="24" s="1"/>
  <c r="AB113" i="24" s="1"/>
  <c r="AC113" i="24" s="1"/>
  <c r="AJ113" i="24" s="1"/>
  <c r="W120" i="24"/>
  <c r="Y120" i="24" s="1"/>
  <c r="W189" i="24"/>
  <c r="Y189" i="24" s="1"/>
  <c r="X209" i="24"/>
  <c r="AA209" i="24" s="1"/>
  <c r="AB209" i="24" s="1"/>
  <c r="AC209" i="24" s="1"/>
  <c r="AJ209" i="24" s="1"/>
  <c r="W174" i="24"/>
  <c r="Y174" i="24" s="1"/>
  <c r="X174" i="24"/>
  <c r="AA174" i="24" s="1"/>
  <c r="AB174" i="24" s="1"/>
  <c r="AC174" i="24" s="1"/>
  <c r="AJ174" i="24" s="1"/>
  <c r="AE186" i="24"/>
  <c r="AF186" i="24" s="1"/>
  <c r="X89" i="24"/>
  <c r="AA89" i="24" s="1"/>
  <c r="AB89" i="24" s="1"/>
  <c r="AC89" i="24" s="1"/>
  <c r="W186" i="24"/>
  <c r="Y186" i="24" s="1"/>
  <c r="AE201" i="24"/>
  <c r="AF201" i="24" s="1"/>
  <c r="X112" i="24"/>
  <c r="AA112" i="24" s="1"/>
  <c r="AB112" i="24" s="1"/>
  <c r="AC112" i="24" s="1"/>
  <c r="AE150" i="24"/>
  <c r="AF150" i="24" s="1"/>
  <c r="AE179" i="24"/>
  <c r="AF179" i="24" s="1"/>
  <c r="W119" i="24"/>
  <c r="Y119" i="24" s="1"/>
  <c r="AI172" i="24"/>
  <c r="W50" i="24"/>
  <c r="Y50" i="24" s="1"/>
  <c r="W101" i="24"/>
  <c r="Y101" i="24" s="1"/>
  <c r="AE100" i="24"/>
  <c r="AF100" i="24" s="1"/>
  <c r="AE60" i="24"/>
  <c r="AF60" i="24" s="1"/>
  <c r="X25" i="24"/>
  <c r="AA25" i="24" s="1"/>
  <c r="AB25" i="24" s="1"/>
  <c r="AC25" i="24" s="1"/>
  <c r="AJ25" i="24" s="1"/>
  <c r="AE101" i="24"/>
  <c r="AF101" i="24" s="1"/>
  <c r="W150" i="24"/>
  <c r="Y150" i="24" s="1"/>
  <c r="W179" i="24"/>
  <c r="Y179" i="24" s="1"/>
  <c r="X181" i="24"/>
  <c r="AA181" i="24" s="1"/>
  <c r="AB181" i="24" s="1"/>
  <c r="AC181" i="24" s="1"/>
  <c r="X208" i="24"/>
  <c r="AA208" i="24" s="1"/>
  <c r="AB208" i="24" s="1"/>
  <c r="AC208" i="24" s="1"/>
  <c r="W128" i="24"/>
  <c r="Y128" i="24" s="1"/>
  <c r="X196" i="24"/>
  <c r="AA196" i="24" s="1"/>
  <c r="AB196" i="24" s="1"/>
  <c r="AC196" i="24" s="1"/>
  <c r="AJ196" i="24" s="1"/>
  <c r="AE128" i="24"/>
  <c r="AG128" i="24" s="1"/>
  <c r="AI112" i="24"/>
  <c r="W60" i="24"/>
  <c r="Y60" i="24" s="1"/>
  <c r="X92" i="24"/>
  <c r="AA92" i="24" s="1"/>
  <c r="AB92" i="24" s="1"/>
  <c r="AC92" i="24" s="1"/>
  <c r="W181" i="24"/>
  <c r="Y181" i="24" s="1"/>
  <c r="AI181" i="24"/>
  <c r="CD113" i="24"/>
  <c r="W154" i="24"/>
  <c r="Y154" i="24" s="1"/>
  <c r="X162" i="24"/>
  <c r="AA162" i="24" s="1"/>
  <c r="AB162" i="24" s="1"/>
  <c r="AC162" i="24" s="1"/>
  <c r="AJ162" i="24" s="1"/>
  <c r="X206" i="24"/>
  <c r="AA206" i="24" s="1"/>
  <c r="AB206" i="24" s="1"/>
  <c r="AC206" i="24" s="1"/>
  <c r="AJ206" i="24" s="1"/>
  <c r="X46" i="24"/>
  <c r="AA46" i="24" s="1"/>
  <c r="AB46" i="24" s="1"/>
  <c r="AC46" i="24" s="1"/>
  <c r="AI54" i="24"/>
  <c r="X18" i="24"/>
  <c r="AA18" i="24" s="1"/>
  <c r="AB18" i="24" s="1"/>
  <c r="AC18" i="24" s="1"/>
  <c r="W188" i="24"/>
  <c r="Y188" i="24" s="1"/>
  <c r="AI207" i="24"/>
  <c r="X157" i="24"/>
  <c r="AA157" i="24" s="1"/>
  <c r="AB157" i="24" s="1"/>
  <c r="AC157" i="24" s="1"/>
  <c r="AE137" i="24"/>
  <c r="AG137" i="24" s="1"/>
  <c r="AI18" i="24"/>
  <c r="W27" i="24"/>
  <c r="Y27" i="24" s="1"/>
  <c r="W78" i="24"/>
  <c r="Y78" i="24" s="1"/>
  <c r="X54" i="24"/>
  <c r="AA54" i="24" s="1"/>
  <c r="AB54" i="24" s="1"/>
  <c r="AC54" i="24" s="1"/>
  <c r="X95" i="24"/>
  <c r="AA95" i="24" s="1"/>
  <c r="AB95" i="24" s="1"/>
  <c r="AC95" i="24" s="1"/>
  <c r="AJ95" i="24" s="1"/>
  <c r="X148" i="24"/>
  <c r="AA148" i="24" s="1"/>
  <c r="AB148" i="24" s="1"/>
  <c r="AC148" i="24" s="1"/>
  <c r="AE125" i="24"/>
  <c r="AF125" i="24" s="1"/>
  <c r="W87" i="24"/>
  <c r="Y87" i="24" s="1"/>
  <c r="W54" i="24"/>
  <c r="Y54" i="24" s="1"/>
  <c r="W10" i="24"/>
  <c r="Y10" i="24" s="1"/>
  <c r="X10" i="24"/>
  <c r="AA10" i="24" s="1"/>
  <c r="AB10" i="24" s="1"/>
  <c r="AC10" i="24" s="1"/>
  <c r="AJ10" i="24" s="1"/>
  <c r="X199" i="24"/>
  <c r="AA199" i="24" s="1"/>
  <c r="AB199" i="24" s="1"/>
  <c r="AC199" i="24" s="1"/>
  <c r="AJ199" i="24" s="1"/>
  <c r="AE134" i="24"/>
  <c r="AF134" i="24" s="1"/>
  <c r="AE142" i="24"/>
  <c r="AG142" i="24" s="1"/>
  <c r="AE210" i="24"/>
  <c r="AF210" i="24" s="1"/>
  <c r="AI170" i="24"/>
  <c r="AJ170" i="24" s="1"/>
  <c r="W19" i="24"/>
  <c r="Y19" i="24" s="1"/>
  <c r="X36" i="24"/>
  <c r="AA36" i="24" s="1"/>
  <c r="AB36" i="24" s="1"/>
  <c r="AC36" i="24" s="1"/>
  <c r="AJ36" i="24" s="1"/>
  <c r="AE78" i="24"/>
  <c r="AG78" i="24" s="1"/>
  <c r="W157" i="24"/>
  <c r="Y157" i="24" s="1"/>
  <c r="W203" i="24"/>
  <c r="Y203" i="24" s="1"/>
  <c r="X192" i="24"/>
  <c r="AA192" i="24" s="1"/>
  <c r="AB192" i="24" s="1"/>
  <c r="AC192" i="24" s="1"/>
  <c r="AJ192" i="24" s="1"/>
  <c r="AE159" i="24"/>
  <c r="AI78" i="24"/>
  <c r="AJ78" i="24" s="1"/>
  <c r="AI203" i="24"/>
  <c r="AI165" i="24"/>
  <c r="AJ165" i="24" s="1"/>
  <c r="W31" i="24"/>
  <c r="Y31" i="24" s="1"/>
  <c r="W46" i="24"/>
  <c r="Y46" i="24" s="1"/>
  <c r="X41" i="24"/>
  <c r="AA41" i="24" s="1"/>
  <c r="AB41" i="24" s="1"/>
  <c r="AC41" i="24" s="1"/>
  <c r="AE96" i="24"/>
  <c r="AF96" i="24" s="1"/>
  <c r="X161" i="24"/>
  <c r="AA161" i="24" s="1"/>
  <c r="AB161" i="24" s="1"/>
  <c r="AC161" i="24" s="1"/>
  <c r="AJ161" i="24" s="1"/>
  <c r="X188" i="24"/>
  <c r="AA188" i="24" s="1"/>
  <c r="AB188" i="24" s="1"/>
  <c r="AC188" i="24" s="1"/>
  <c r="AJ188" i="24" s="1"/>
  <c r="W205" i="24"/>
  <c r="Y205" i="24" s="1"/>
  <c r="W182" i="24"/>
  <c r="Y182" i="24" s="1"/>
  <c r="AE205" i="24"/>
  <c r="AF205" i="24" s="1"/>
  <c r="AE170" i="24"/>
  <c r="AG170" i="24" s="1"/>
  <c r="W194" i="24"/>
  <c r="Y194" i="24" s="1"/>
  <c r="W206" i="24"/>
  <c r="Y206" i="24" s="1"/>
  <c r="W199" i="24"/>
  <c r="Y199" i="24" s="1"/>
  <c r="X50" i="24"/>
  <c r="AA50" i="24" s="1"/>
  <c r="AB50" i="24" s="1"/>
  <c r="AC50" i="24" s="1"/>
  <c r="AJ50" i="24" s="1"/>
  <c r="AI46" i="24"/>
  <c r="AI157" i="24"/>
  <c r="AE56" i="24"/>
  <c r="AG56" i="24" s="1"/>
  <c r="W165" i="24"/>
  <c r="Y165" i="24" s="1"/>
  <c r="X203" i="24"/>
  <c r="AA203" i="24" s="1"/>
  <c r="AB203" i="24" s="1"/>
  <c r="AC203" i="24" s="1"/>
  <c r="X177" i="24"/>
  <c r="AA177" i="24" s="1"/>
  <c r="AB177" i="24" s="1"/>
  <c r="AC177" i="24" s="1"/>
  <c r="AJ177" i="24" s="1"/>
  <c r="W36" i="24"/>
  <c r="Y36" i="24" s="1"/>
  <c r="AI210" i="24"/>
  <c r="W18" i="24"/>
  <c r="Y18" i="24" s="1"/>
  <c r="AI53" i="24"/>
  <c r="AJ53" i="24" s="1"/>
  <c r="AE95" i="24"/>
  <c r="AF95" i="24" s="1"/>
  <c r="AI148" i="24"/>
  <c r="CD143" i="24"/>
  <c r="AI21" i="24"/>
  <c r="AE21" i="24"/>
  <c r="AF21" i="24" s="1"/>
  <c r="W42" i="24"/>
  <c r="Y42" i="24" s="1"/>
  <c r="W155" i="24"/>
  <c r="Y155" i="24" s="1"/>
  <c r="X187" i="24"/>
  <c r="AA187" i="24" s="1"/>
  <c r="AB187" i="24" s="1"/>
  <c r="AC187" i="24" s="1"/>
  <c r="X136" i="24"/>
  <c r="AA136" i="24" s="1"/>
  <c r="AB136" i="24" s="1"/>
  <c r="AC136" i="24" s="1"/>
  <c r="AE163" i="24"/>
  <c r="AF163" i="24" s="1"/>
  <c r="W149" i="24"/>
  <c r="Y149" i="24" s="1"/>
  <c r="X122" i="24"/>
  <c r="AA122" i="24" s="1"/>
  <c r="AB122" i="24" s="1"/>
  <c r="AC122" i="24" s="1"/>
  <c r="AE141" i="24"/>
  <c r="AF141" i="24" s="1"/>
  <c r="CD136" i="24"/>
  <c r="CD145" i="24"/>
  <c r="W136" i="24"/>
  <c r="Y136" i="24" s="1"/>
  <c r="X163" i="24"/>
  <c r="AA163" i="24" s="1"/>
  <c r="AB163" i="24" s="1"/>
  <c r="AC163" i="24" s="1"/>
  <c r="AJ163" i="24" s="1"/>
  <c r="AE145" i="24"/>
  <c r="AF145" i="24" s="1"/>
  <c r="CD133" i="24"/>
  <c r="AI83" i="24"/>
  <c r="AJ83" i="24" s="1"/>
  <c r="AI101" i="24"/>
  <c r="AJ101" i="24" s="1"/>
  <c r="AI97" i="24"/>
  <c r="AI92" i="24"/>
  <c r="AI179" i="24"/>
  <c r="AJ179" i="24" s="1"/>
  <c r="AI150" i="24"/>
  <c r="AJ150" i="24" s="1"/>
  <c r="AI208" i="24"/>
  <c r="W74" i="24"/>
  <c r="Y74" i="24" s="1"/>
  <c r="AE25" i="24"/>
  <c r="X60" i="24"/>
  <c r="AA60" i="24" s="1"/>
  <c r="AB60" i="24" s="1"/>
  <c r="AC60" i="24" s="1"/>
  <c r="AJ60" i="24" s="1"/>
  <c r="AE131" i="24"/>
  <c r="AF131" i="24" s="1"/>
  <c r="AE183" i="24"/>
  <c r="AG183" i="24" s="1"/>
  <c r="X186" i="24"/>
  <c r="AA186" i="24" s="1"/>
  <c r="AB186" i="24" s="1"/>
  <c r="AC186" i="24" s="1"/>
  <c r="AJ186" i="24" s="1"/>
  <c r="AE172" i="24"/>
  <c r="AF172" i="24" s="1"/>
  <c r="AE196" i="24"/>
  <c r="W131" i="24"/>
  <c r="Y131" i="24" s="1"/>
  <c r="AI201" i="24"/>
  <c r="W89" i="24"/>
  <c r="Y89" i="24" s="1"/>
  <c r="CD118" i="24"/>
  <c r="CD116" i="24"/>
  <c r="CD120" i="24"/>
  <c r="AI89" i="24"/>
  <c r="AI183" i="24"/>
  <c r="AJ183" i="24" s="1"/>
  <c r="W25" i="24"/>
  <c r="Y25" i="24" s="1"/>
  <c r="W82" i="24"/>
  <c r="Y82" i="24" s="1"/>
  <c r="W92" i="24"/>
  <c r="Y92" i="24" s="1"/>
  <c r="X100" i="24"/>
  <c r="AA100" i="24" s="1"/>
  <c r="AB100" i="24" s="1"/>
  <c r="AC100" i="24" s="1"/>
  <c r="AJ100" i="24" s="1"/>
  <c r="AI128" i="24"/>
  <c r="AJ128" i="24" s="1"/>
  <c r="W208" i="24"/>
  <c r="Y208" i="24" s="1"/>
  <c r="W196" i="24"/>
  <c r="Y196" i="24" s="1"/>
  <c r="AE119" i="24"/>
  <c r="AF119" i="24" s="1"/>
  <c r="AE50" i="24"/>
  <c r="AF50" i="24" s="1"/>
  <c r="CD162" i="24"/>
  <c r="CD114" i="24"/>
  <c r="CD161" i="24"/>
  <c r="CD115" i="24"/>
  <c r="CD137" i="24"/>
  <c r="AI74" i="24"/>
  <c r="AJ74" i="24" s="1"/>
  <c r="AI136" i="24"/>
  <c r="W53" i="24"/>
  <c r="Y53" i="24" s="1"/>
  <c r="W86" i="24"/>
  <c r="Y86" i="24" s="1"/>
  <c r="W95" i="24"/>
  <c r="Y95" i="24" s="1"/>
  <c r="W56" i="24"/>
  <c r="Y56" i="24" s="1"/>
  <c r="AE69" i="24"/>
  <c r="AF69" i="24" s="1"/>
  <c r="X31" i="24"/>
  <c r="AA31" i="24" s="1"/>
  <c r="AB31" i="24" s="1"/>
  <c r="AC31" i="24" s="1"/>
  <c r="X96" i="24"/>
  <c r="AA96" i="24" s="1"/>
  <c r="AB96" i="24" s="1"/>
  <c r="AC96" i="24" s="1"/>
  <c r="W183" i="24"/>
  <c r="Y183" i="24" s="1"/>
  <c r="AE188" i="24"/>
  <c r="AF188" i="24" s="1"/>
  <c r="AE112" i="24"/>
  <c r="AE199" i="24"/>
  <c r="AF199" i="24" s="1"/>
  <c r="X131" i="24"/>
  <c r="AA131" i="24" s="1"/>
  <c r="AB131" i="24" s="1"/>
  <c r="AC131" i="24" s="1"/>
  <c r="AJ131" i="24" s="1"/>
  <c r="X134" i="24"/>
  <c r="AA134" i="24" s="1"/>
  <c r="AB134" i="24" s="1"/>
  <c r="AC134" i="24" s="1"/>
  <c r="AJ134" i="24" s="1"/>
  <c r="AE123" i="24"/>
  <c r="AF123" i="24" s="1"/>
  <c r="W192" i="24"/>
  <c r="Y192" i="24" s="1"/>
  <c r="W125" i="24"/>
  <c r="Y125" i="24" s="1"/>
  <c r="W142" i="24"/>
  <c r="Y142" i="24" s="1"/>
  <c r="AE184" i="24"/>
  <c r="AF184" i="24" s="1"/>
  <c r="X152" i="24"/>
  <c r="AA152" i="24" s="1"/>
  <c r="AB152" i="24" s="1"/>
  <c r="AC152" i="24" s="1"/>
  <c r="AJ152" i="24" s="1"/>
  <c r="AE148" i="24"/>
  <c r="AF148" i="24" s="1"/>
  <c r="AE162" i="24"/>
  <c r="X116" i="24"/>
  <c r="AA116" i="24" s="1"/>
  <c r="AB116" i="24" s="1"/>
  <c r="AC116" i="24" s="1"/>
  <c r="AE192" i="24"/>
  <c r="AF192" i="24" s="1"/>
  <c r="X125" i="24"/>
  <c r="AA125" i="24" s="1"/>
  <c r="AB125" i="24" s="1"/>
  <c r="AC125" i="24" s="1"/>
  <c r="AJ125" i="24" s="1"/>
  <c r="W207" i="24"/>
  <c r="Y207" i="24" s="1"/>
  <c r="W170" i="24"/>
  <c r="Y170" i="24" s="1"/>
  <c r="X167" i="24"/>
  <c r="AA167" i="24" s="1"/>
  <c r="AB167" i="24" s="1"/>
  <c r="AC167" i="24" s="1"/>
  <c r="AJ167" i="24" s="1"/>
  <c r="X172" i="24"/>
  <c r="AA172" i="24" s="1"/>
  <c r="AB172" i="24" s="1"/>
  <c r="AC172" i="24" s="1"/>
  <c r="AE165" i="24"/>
  <c r="AG165" i="24" s="1"/>
  <c r="AE177" i="24"/>
  <c r="AF177" i="24" s="1"/>
  <c r="AE206" i="24"/>
  <c r="AF206" i="24" s="1"/>
  <c r="X194" i="24"/>
  <c r="AA194" i="24" s="1"/>
  <c r="AB194" i="24" s="1"/>
  <c r="AC194" i="24" s="1"/>
  <c r="AJ194" i="24" s="1"/>
  <c r="X210" i="24"/>
  <c r="AA210" i="24" s="1"/>
  <c r="AB210" i="24" s="1"/>
  <c r="AC210" i="24" s="1"/>
  <c r="X201" i="24"/>
  <c r="AA201" i="24" s="1"/>
  <c r="AB201" i="24" s="1"/>
  <c r="AC201" i="24" s="1"/>
  <c r="AI31" i="24"/>
  <c r="AI96" i="24"/>
  <c r="AI87" i="24"/>
  <c r="AI142" i="24"/>
  <c r="AJ142" i="24" s="1"/>
  <c r="AI169" i="24"/>
  <c r="AI205" i="24"/>
  <c r="AJ205" i="24" s="1"/>
  <c r="AE27" i="24"/>
  <c r="AF27" i="24" s="1"/>
  <c r="AE36" i="24"/>
  <c r="AF36" i="24" s="1"/>
  <c r="AE10" i="24"/>
  <c r="AF10" i="24" s="1"/>
  <c r="AE161" i="24"/>
  <c r="AF161" i="24" s="1"/>
  <c r="W134" i="24"/>
  <c r="Y134" i="24" s="1"/>
  <c r="W162" i="24"/>
  <c r="Y162" i="24" s="1"/>
  <c r="W159" i="24"/>
  <c r="Y159" i="24" s="1"/>
  <c r="X169" i="24"/>
  <c r="AA169" i="24" s="1"/>
  <c r="AB169" i="24" s="1"/>
  <c r="AC169" i="24" s="1"/>
  <c r="W137" i="24"/>
  <c r="Y137" i="24" s="1"/>
  <c r="X159" i="24"/>
  <c r="AA159" i="24" s="1"/>
  <c r="AB159" i="24" s="1"/>
  <c r="AC159" i="24" s="1"/>
  <c r="AJ159" i="24" s="1"/>
  <c r="X119" i="24"/>
  <c r="AA119" i="24" s="1"/>
  <c r="AB119" i="24" s="1"/>
  <c r="AC119" i="24" s="1"/>
  <c r="AJ119" i="24" s="1"/>
  <c r="AI56" i="24"/>
  <c r="AJ56" i="24" s="1"/>
  <c r="AE83" i="24"/>
  <c r="AG83" i="24" s="1"/>
  <c r="X40" i="24"/>
  <c r="AA40" i="24" s="1"/>
  <c r="AB40" i="24" s="1"/>
  <c r="AC40" i="24" s="1"/>
  <c r="AI116" i="24"/>
  <c r="W105" i="24"/>
  <c r="Y105" i="24" s="1"/>
  <c r="W79" i="24"/>
  <c r="Y79" i="24" s="1"/>
  <c r="AE105" i="24"/>
  <c r="AF105" i="24" s="1"/>
  <c r="X33" i="24"/>
  <c r="AA33" i="24" s="1"/>
  <c r="AB33" i="24" s="1"/>
  <c r="AC33" i="24" s="1"/>
  <c r="AE55" i="24"/>
  <c r="X87" i="24"/>
  <c r="AA87" i="24" s="1"/>
  <c r="AB87" i="24" s="1"/>
  <c r="AC87" i="24" s="1"/>
  <c r="AJ87" i="24" s="1"/>
  <c r="W161" i="24"/>
  <c r="Y161" i="24" s="1"/>
  <c r="W152" i="24"/>
  <c r="Y152" i="24" s="1"/>
  <c r="W163" i="24"/>
  <c r="Y163" i="24" s="1"/>
  <c r="AE182" i="24"/>
  <c r="AG182" i="24" s="1"/>
  <c r="X155" i="24"/>
  <c r="AA155" i="24" s="1"/>
  <c r="AB155" i="24" s="1"/>
  <c r="AC155" i="24" s="1"/>
  <c r="X123" i="24"/>
  <c r="AA123" i="24" s="1"/>
  <c r="AB123" i="24" s="1"/>
  <c r="AC123" i="24" s="1"/>
  <c r="W116" i="24"/>
  <c r="Y116" i="24" s="1"/>
  <c r="W169" i="24"/>
  <c r="Y169" i="24" s="1"/>
  <c r="W167" i="24"/>
  <c r="Y167" i="24" s="1"/>
  <c r="AE152" i="24"/>
  <c r="X115" i="24"/>
  <c r="AA115" i="24" s="1"/>
  <c r="AB115" i="24" s="1"/>
  <c r="AC115" i="24" s="1"/>
  <c r="X207" i="24"/>
  <c r="AA207" i="24" s="1"/>
  <c r="AB207" i="24" s="1"/>
  <c r="AC207" i="24" s="1"/>
  <c r="W187" i="24"/>
  <c r="Y187" i="24" s="1"/>
  <c r="W115" i="24"/>
  <c r="Y115" i="24" s="1"/>
  <c r="AE154" i="24"/>
  <c r="AG154" i="24" s="1"/>
  <c r="X149" i="24"/>
  <c r="AA149" i="24" s="1"/>
  <c r="AB149" i="24" s="1"/>
  <c r="AC149" i="24" s="1"/>
  <c r="AJ149" i="24" s="1"/>
  <c r="AE122" i="24"/>
  <c r="W177" i="24"/>
  <c r="Y177" i="24" s="1"/>
  <c r="AI145" i="24"/>
  <c r="AJ145" i="24" s="1"/>
  <c r="AI68" i="24"/>
  <c r="AE104" i="24"/>
  <c r="AF104" i="24" s="1"/>
  <c r="AI154" i="24"/>
  <c r="AJ154" i="24" s="1"/>
  <c r="AI123" i="24"/>
  <c r="AI182" i="24"/>
  <c r="AJ182" i="24" s="1"/>
  <c r="AI122" i="24"/>
  <c r="AI184" i="24"/>
  <c r="AJ184" i="24" s="1"/>
  <c r="AI141" i="24"/>
  <c r="AJ141" i="24" s="1"/>
  <c r="AE42" i="24"/>
  <c r="AF42" i="24" s="1"/>
  <c r="W184" i="24"/>
  <c r="Y184" i="24" s="1"/>
  <c r="AI155" i="24"/>
  <c r="W72" i="24"/>
  <c r="Y72" i="24" s="1"/>
  <c r="X27" i="24"/>
  <c r="AA27" i="24" s="1"/>
  <c r="AB27" i="24" s="1"/>
  <c r="AC27" i="24" s="1"/>
  <c r="AJ27" i="24" s="1"/>
  <c r="X105" i="24"/>
  <c r="AA105" i="24" s="1"/>
  <c r="AB105" i="24" s="1"/>
  <c r="AC105" i="24" s="1"/>
  <c r="AJ105" i="24" s="1"/>
  <c r="X19" i="24"/>
  <c r="AA19" i="24" s="1"/>
  <c r="AB19" i="24" s="1"/>
  <c r="AC19" i="24" s="1"/>
  <c r="AE91" i="24"/>
  <c r="AF91" i="24" s="1"/>
  <c r="AI187" i="24"/>
  <c r="AI137" i="24"/>
  <c r="AJ137" i="24" s="1"/>
  <c r="AI115" i="24"/>
  <c r="W141" i="24"/>
  <c r="Y141" i="24" s="1"/>
  <c r="AE167" i="24"/>
  <c r="AE149" i="24"/>
  <c r="AF149" i="24" s="1"/>
  <c r="X21" i="24"/>
  <c r="AA21" i="24" s="1"/>
  <c r="AB21" i="24" s="1"/>
  <c r="AC21" i="24" s="1"/>
  <c r="X42" i="24"/>
  <c r="AA42" i="24" s="1"/>
  <c r="AB42" i="24" s="1"/>
  <c r="AC42" i="24" s="1"/>
  <c r="AJ42" i="24" s="1"/>
  <c r="AI79" i="24"/>
  <c r="W63" i="24"/>
  <c r="Y63" i="24" s="1"/>
  <c r="X79" i="24"/>
  <c r="AA79" i="24" s="1"/>
  <c r="AB79" i="24" s="1"/>
  <c r="AC79" i="24" s="1"/>
  <c r="X72" i="24"/>
  <c r="AA72" i="24" s="1"/>
  <c r="AB72" i="24" s="1"/>
  <c r="AC72" i="24" s="1"/>
  <c r="AI55" i="24"/>
  <c r="AI72" i="24"/>
  <c r="W83" i="24"/>
  <c r="Y83" i="24" s="1"/>
  <c r="W40" i="24"/>
  <c r="Y40" i="24" s="1"/>
  <c r="X55" i="24"/>
  <c r="AA55" i="24" s="1"/>
  <c r="AB55" i="24" s="1"/>
  <c r="AC55" i="24" s="1"/>
  <c r="W68" i="24"/>
  <c r="Y68" i="24" s="1"/>
  <c r="W23" i="24"/>
  <c r="Y23" i="24" s="1"/>
  <c r="W41" i="24"/>
  <c r="Y41" i="24" s="1"/>
  <c r="W69" i="24"/>
  <c r="Y69" i="24" s="1"/>
  <c r="X68" i="24"/>
  <c r="AA68" i="24" s="1"/>
  <c r="AB68" i="24" s="1"/>
  <c r="AC68" i="24" s="1"/>
  <c r="X51" i="24"/>
  <c r="AA51" i="24" s="1"/>
  <c r="AB51" i="24" s="1"/>
  <c r="AC51" i="24" s="1"/>
  <c r="X97" i="24"/>
  <c r="AA97" i="24" s="1"/>
  <c r="AB97" i="24" s="1"/>
  <c r="AC97" i="24" s="1"/>
  <c r="X28" i="24"/>
  <c r="AA28" i="24" s="1"/>
  <c r="AB28" i="24" s="1"/>
  <c r="AC28" i="24" s="1"/>
  <c r="AE86" i="24"/>
  <c r="AF86" i="24" s="1"/>
  <c r="AE85" i="24"/>
  <c r="AF85" i="24" s="1"/>
  <c r="X70" i="24"/>
  <c r="AA70" i="24" s="1"/>
  <c r="AB70" i="24" s="1"/>
  <c r="AC70" i="24" s="1"/>
  <c r="AJ70" i="24" s="1"/>
  <c r="AE32" i="24"/>
  <c r="AF32" i="24" s="1"/>
  <c r="X104" i="24"/>
  <c r="AA104" i="24" s="1"/>
  <c r="AB104" i="24" s="1"/>
  <c r="AC104" i="24" s="1"/>
  <c r="AJ104" i="24" s="1"/>
  <c r="W70" i="24"/>
  <c r="Y70" i="24" s="1"/>
  <c r="AI86" i="24"/>
  <c r="AJ86" i="24" s="1"/>
  <c r="AI33" i="24"/>
  <c r="AI41" i="24"/>
  <c r="AI28" i="24"/>
  <c r="AI19" i="24"/>
  <c r="AI51" i="24"/>
  <c r="AE33" i="24"/>
  <c r="AE14" i="24"/>
  <c r="AF14" i="24" s="1"/>
  <c r="X69" i="24"/>
  <c r="AA69" i="24" s="1"/>
  <c r="AB69" i="24" s="1"/>
  <c r="AC69" i="24" s="1"/>
  <c r="AJ69" i="24" s="1"/>
  <c r="AE23" i="24"/>
  <c r="X29" i="24"/>
  <c r="AA29" i="24" s="1"/>
  <c r="AB29" i="24" s="1"/>
  <c r="AC29" i="24" s="1"/>
  <c r="W51" i="24"/>
  <c r="Y51" i="24" s="1"/>
  <c r="AE53" i="24"/>
  <c r="AF53" i="24" s="1"/>
  <c r="AI29" i="24"/>
  <c r="AI85" i="24"/>
  <c r="AJ85" i="24" s="1"/>
  <c r="W29" i="24"/>
  <c r="Y29" i="24" s="1"/>
  <c r="W85" i="24"/>
  <c r="Y85" i="24" s="1"/>
  <c r="W28" i="24"/>
  <c r="Y28" i="24" s="1"/>
  <c r="W104" i="24"/>
  <c r="Y104" i="24" s="1"/>
  <c r="AE97" i="24"/>
  <c r="AF97" i="24" s="1"/>
  <c r="AE70" i="24"/>
  <c r="AE73" i="24"/>
  <c r="AG73" i="24" s="1"/>
  <c r="AI63" i="24"/>
  <c r="AI14" i="24"/>
  <c r="AJ14" i="24" s="1"/>
  <c r="AI59" i="24"/>
  <c r="AI91" i="24"/>
  <c r="AJ91" i="24" s="1"/>
  <c r="P100" i="24"/>
  <c r="W14" i="24"/>
  <c r="Y14" i="24" s="1"/>
  <c r="AE74" i="24"/>
  <c r="AG74" i="24" s="1"/>
  <c r="AI40" i="24"/>
  <c r="AI73" i="24"/>
  <c r="AJ73" i="24" s="1"/>
  <c r="AI82" i="24"/>
  <c r="P101" i="24"/>
  <c r="P32" i="24"/>
  <c r="W100" i="24"/>
  <c r="Y100" i="24" s="1"/>
  <c r="W59" i="24"/>
  <c r="Y59" i="24" s="1"/>
  <c r="AP32" i="24"/>
  <c r="AP25" i="24"/>
  <c r="AP86" i="24"/>
  <c r="X59" i="24"/>
  <c r="AA59" i="24" s="1"/>
  <c r="AB59" i="24" s="1"/>
  <c r="AC59" i="24" s="1"/>
  <c r="X82" i="24"/>
  <c r="AA82" i="24" s="1"/>
  <c r="AB82" i="24" s="1"/>
  <c r="AC82" i="24" s="1"/>
  <c r="W32" i="24"/>
  <c r="Y32" i="24" s="1"/>
  <c r="X23" i="24"/>
  <c r="AA23" i="24" s="1"/>
  <c r="AB23" i="24" s="1"/>
  <c r="AC23" i="24" s="1"/>
  <c r="AJ23" i="24" s="1"/>
  <c r="X32" i="24"/>
  <c r="AA32" i="24" s="1"/>
  <c r="AB32" i="24" s="1"/>
  <c r="AC32" i="24" s="1"/>
  <c r="AJ32" i="24" s="1"/>
  <c r="X63" i="24"/>
  <c r="AA63" i="24" s="1"/>
  <c r="AB63" i="24" s="1"/>
  <c r="AC63" i="24" s="1"/>
  <c r="W64" i="24"/>
  <c r="Y64" i="24" s="1"/>
  <c r="W91" i="24"/>
  <c r="Y91" i="24" s="1"/>
  <c r="W73" i="24"/>
  <c r="Y73" i="24" s="1"/>
  <c r="AP104" i="24"/>
  <c r="AP100" i="24"/>
  <c r="X64" i="24"/>
  <c r="AA64" i="24" s="1"/>
  <c r="AB64" i="24" s="1"/>
  <c r="AC64" i="24" s="1"/>
  <c r="P85" i="24"/>
  <c r="P25" i="24"/>
  <c r="P104" i="24"/>
  <c r="AP33" i="24"/>
  <c r="AP78" i="24"/>
  <c r="AP69" i="24"/>
  <c r="AP23" i="24"/>
  <c r="P69" i="24"/>
  <c r="P70" i="24"/>
  <c r="P97" i="24"/>
  <c r="Q92" i="24"/>
  <c r="R92" i="24" s="1"/>
  <c r="P74" i="24"/>
  <c r="Q74" i="24"/>
  <c r="R74" i="24" s="1"/>
  <c r="Q72" i="24"/>
  <c r="R72" i="24" s="1"/>
  <c r="P29" i="24"/>
  <c r="Q29" i="24"/>
  <c r="R29" i="24" s="1"/>
  <c r="Q56" i="24"/>
  <c r="R56" i="24" s="1"/>
  <c r="P14" i="24"/>
  <c r="Q14" i="24"/>
  <c r="R14" i="24" s="1"/>
  <c r="Q50" i="24"/>
  <c r="R50" i="24" s="1"/>
  <c r="Q31" i="24"/>
  <c r="R31" i="24" s="1"/>
  <c r="AP96" i="24"/>
  <c r="Q96" i="24"/>
  <c r="R96" i="24" s="1"/>
  <c r="P73" i="24"/>
  <c r="AP19" i="24"/>
  <c r="AP70" i="24"/>
  <c r="AP21" i="24"/>
  <c r="AP73" i="24"/>
  <c r="AP68" i="24"/>
  <c r="P23" i="24"/>
  <c r="P21" i="24"/>
  <c r="Q91" i="24"/>
  <c r="R91" i="24" s="1"/>
  <c r="P83" i="24"/>
  <c r="Q83" i="24"/>
  <c r="R83" i="24" s="1"/>
  <c r="P36" i="24"/>
  <c r="Q36" i="24"/>
  <c r="R36" i="24" s="1"/>
  <c r="Q89" i="24"/>
  <c r="R89" i="24" s="1"/>
  <c r="AP82" i="24"/>
  <c r="Q82" i="24"/>
  <c r="R82" i="24" s="1"/>
  <c r="P18" i="24"/>
  <c r="Q18" i="24"/>
  <c r="R18" i="24" s="1"/>
  <c r="Q60" i="24"/>
  <c r="R60" i="24" s="1"/>
  <c r="Q42" i="24"/>
  <c r="R42" i="24" s="1"/>
  <c r="Q40" i="24"/>
  <c r="R40" i="24" s="1"/>
  <c r="Q87" i="24"/>
  <c r="R87" i="24" s="1"/>
  <c r="P46" i="24"/>
  <c r="Q46" i="24"/>
  <c r="R46" i="24" s="1"/>
  <c r="P87" i="24"/>
  <c r="P60" i="24"/>
  <c r="P42" i="24"/>
  <c r="P40" i="24"/>
  <c r="P91" i="24"/>
  <c r="J93" i="24"/>
  <c r="W93" i="24" s="1"/>
  <c r="Y93" i="24" s="1"/>
  <c r="Q93" i="24"/>
  <c r="R93" i="24" s="1"/>
  <c r="J80" i="24"/>
  <c r="J35" i="24"/>
  <c r="AI35" i="24" s="1"/>
  <c r="Q35" i="24"/>
  <c r="R35" i="24" s="1"/>
  <c r="J34" i="24"/>
  <c r="AI34" i="24" s="1"/>
  <c r="Q34" i="24"/>
  <c r="R34" i="24" s="1"/>
  <c r="J94" i="24"/>
  <c r="AE94" i="24" s="1"/>
  <c r="AF94" i="24" s="1"/>
  <c r="Q94" i="24"/>
  <c r="R94" i="24" s="1"/>
  <c r="J76" i="24"/>
  <c r="J81" i="24"/>
  <c r="AE81" i="24" s="1"/>
  <c r="AF81" i="24" s="1"/>
  <c r="Q81" i="24"/>
  <c r="R81" i="24" s="1"/>
  <c r="J66" i="24"/>
  <c r="Q66" i="24"/>
  <c r="R66" i="24" s="1"/>
  <c r="J16" i="24"/>
  <c r="W16" i="24" s="1"/>
  <c r="Y16" i="24" s="1"/>
  <c r="P16" i="24"/>
  <c r="J99" i="24"/>
  <c r="AI99" i="24" s="1"/>
  <c r="J17" i="24"/>
  <c r="AP17" i="24"/>
  <c r="J48" i="24"/>
  <c r="W48" i="24" s="1"/>
  <c r="Y48" i="24" s="1"/>
  <c r="Q48" i="24"/>
  <c r="R48" i="24" s="1"/>
  <c r="AP31" i="24"/>
  <c r="J49" i="24"/>
  <c r="AI49" i="24" s="1"/>
  <c r="Q49" i="24"/>
  <c r="R49" i="24" s="1"/>
  <c r="J20" i="24"/>
  <c r="Q20" i="24"/>
  <c r="R20" i="24" s="1"/>
  <c r="J77" i="24"/>
  <c r="AP77" i="24"/>
  <c r="J47" i="24"/>
  <c r="AI47" i="24" s="1"/>
  <c r="J67" i="24"/>
  <c r="P67" i="24"/>
  <c r="J24" i="24"/>
  <c r="Q24" i="24"/>
  <c r="R24" i="24" s="1"/>
  <c r="J8" i="24"/>
  <c r="X8" i="24" s="1"/>
  <c r="AA8" i="24" s="1"/>
  <c r="AB8" i="24" s="1"/>
  <c r="AC8" i="24" s="1"/>
  <c r="Q8" i="24"/>
  <c r="R8" i="24" s="1"/>
  <c r="J90" i="24"/>
  <c r="J88" i="24"/>
  <c r="X88" i="24" s="1"/>
  <c r="AA88" i="24" s="1"/>
  <c r="AB88" i="24" s="1"/>
  <c r="AC88" i="24" s="1"/>
  <c r="P88" i="24"/>
  <c r="P72" i="24"/>
  <c r="P96" i="24"/>
  <c r="AP14" i="24"/>
  <c r="AP92" i="24"/>
  <c r="AP74" i="24"/>
  <c r="AP29" i="24"/>
  <c r="P92" i="24"/>
  <c r="J45" i="24"/>
  <c r="J62" i="24"/>
  <c r="J22" i="24"/>
  <c r="W22" i="24" s="1"/>
  <c r="Y22" i="24" s="1"/>
  <c r="J26" i="24"/>
  <c r="W26" i="24" s="1"/>
  <c r="Y26" i="24" s="1"/>
  <c r="J52" i="24"/>
  <c r="J13" i="24"/>
  <c r="X13" i="24" s="1"/>
  <c r="AA13" i="24" s="1"/>
  <c r="AB13" i="24" s="1"/>
  <c r="AC13" i="24" s="1"/>
  <c r="J15" i="24"/>
  <c r="AI15" i="24" s="1"/>
  <c r="J84" i="24"/>
  <c r="Q84" i="24"/>
  <c r="J9" i="24"/>
  <c r="J37" i="24"/>
  <c r="AI37" i="24" s="1"/>
  <c r="AP37" i="24"/>
  <c r="J38" i="24"/>
  <c r="J39" i="24"/>
  <c r="AP39" i="24"/>
  <c r="J30" i="24"/>
  <c r="Q30" i="24"/>
  <c r="R30" i="24" s="1"/>
  <c r="P31" i="24"/>
  <c r="J12" i="24"/>
  <c r="W12" i="24" s="1"/>
  <c r="Y12" i="24" s="1"/>
  <c r="J65" i="24"/>
  <c r="AI65" i="24" s="1"/>
  <c r="J11" i="24"/>
  <c r="AI11" i="24" s="1"/>
  <c r="J102" i="24"/>
  <c r="AI102" i="24" s="1"/>
  <c r="J71" i="24"/>
  <c r="W71" i="24" s="1"/>
  <c r="Y71" i="24" s="1"/>
  <c r="J44" i="24"/>
  <c r="AE44" i="24" s="1"/>
  <c r="J43" i="24"/>
  <c r="X43" i="24" s="1"/>
  <c r="AA43" i="24" s="1"/>
  <c r="AB43" i="24" s="1"/>
  <c r="AC43" i="24" s="1"/>
  <c r="J103" i="24"/>
  <c r="J58" i="24"/>
  <c r="AI58" i="24" s="1"/>
  <c r="J75" i="24"/>
  <c r="J57" i="24"/>
  <c r="J61" i="24"/>
  <c r="X61" i="24" s="1"/>
  <c r="AA61" i="24" s="1"/>
  <c r="AB61" i="24" s="1"/>
  <c r="AC61" i="24" s="1"/>
  <c r="J98" i="24"/>
  <c r="J6" i="24"/>
  <c r="X6" i="24" s="1"/>
  <c r="AA6" i="24" s="1"/>
  <c r="AB6" i="24" s="1"/>
  <c r="AC6" i="24" s="1"/>
  <c r="J7" i="24"/>
  <c r="AP7" i="24"/>
  <c r="P55" i="24"/>
  <c r="R55" i="24"/>
  <c r="P33" i="24"/>
  <c r="R33" i="24"/>
  <c r="AP76" i="24"/>
  <c r="AP85" i="24"/>
  <c r="R97" i="24"/>
  <c r="AP89" i="24"/>
  <c r="R105" i="24"/>
  <c r="P105" i="24"/>
  <c r="R19" i="24"/>
  <c r="P19" i="24"/>
  <c r="P82" i="24"/>
  <c r="AP97" i="24"/>
  <c r="P86" i="24"/>
  <c r="R86" i="24"/>
  <c r="P54" i="24"/>
  <c r="R54" i="24"/>
  <c r="P20" i="24"/>
  <c r="AP95" i="24"/>
  <c r="P95" i="24"/>
  <c r="P80" i="24"/>
  <c r="P15" i="24"/>
  <c r="AP15" i="24"/>
  <c r="P24" i="24"/>
  <c r="AP24" i="24"/>
  <c r="P50" i="24"/>
  <c r="P47" i="24"/>
  <c r="P9" i="24"/>
  <c r="P90" i="24"/>
  <c r="P17" i="24"/>
  <c r="P38" i="24"/>
  <c r="P30" i="24"/>
  <c r="AP9" i="24"/>
  <c r="AP98" i="24"/>
  <c r="AP50" i="24"/>
  <c r="R51" i="24"/>
  <c r="P51" i="24"/>
  <c r="P59" i="24"/>
  <c r="R59" i="24"/>
  <c r="P89" i="24"/>
  <c r="P76" i="24"/>
  <c r="P66" i="24"/>
  <c r="AP51" i="24"/>
  <c r="AP58" i="24"/>
  <c r="AP66" i="24"/>
  <c r="AP47" i="24"/>
  <c r="AP38" i="24"/>
  <c r="P34" i="24"/>
  <c r="P99" i="24"/>
  <c r="P61" i="24"/>
  <c r="P37" i="24"/>
  <c r="P48" i="24"/>
  <c r="P56" i="24"/>
  <c r="AI64" i="24"/>
  <c r="AE110" i="24"/>
  <c r="AG110" i="24" s="1"/>
  <c r="AI110" i="24"/>
  <c r="AJ110" i="24" s="1"/>
  <c r="W110" i="24"/>
  <c r="Y110" i="24" s="1"/>
  <c r="CD299" i="24"/>
  <c r="CD276" i="24"/>
  <c r="CD218" i="25"/>
  <c r="CD241" i="24"/>
  <c r="CD263" i="25"/>
  <c r="CD285" i="25"/>
  <c r="CD231" i="24"/>
  <c r="CD228" i="25"/>
  <c r="CD266" i="25"/>
  <c r="CD232" i="25"/>
  <c r="CD221" i="25"/>
  <c r="CD229" i="25"/>
  <c r="CD251" i="25"/>
  <c r="CD231" i="25"/>
  <c r="CD268" i="25"/>
  <c r="CD220" i="25"/>
  <c r="CD248" i="25"/>
  <c r="CD245" i="25"/>
  <c r="CD262" i="25"/>
  <c r="CD239" i="25"/>
  <c r="CD254" i="25"/>
  <c r="CD226" i="25"/>
  <c r="CD257" i="25"/>
  <c r="AJ5" i="24"/>
  <c r="CD237" i="25"/>
  <c r="CD297" i="25"/>
  <c r="CD219" i="25"/>
  <c r="CD235" i="25"/>
  <c r="CD222" i="25"/>
  <c r="CD223" i="25"/>
  <c r="CD271" i="25"/>
  <c r="CD258" i="24"/>
  <c r="CD226" i="24"/>
  <c r="CD243" i="24"/>
  <c r="CD271" i="24"/>
  <c r="CD229" i="24"/>
  <c r="CD247" i="24"/>
  <c r="CD297" i="24"/>
  <c r="CD239" i="24"/>
  <c r="V110" i="25"/>
  <c r="X110" i="25" s="1"/>
  <c r="AG5" i="24"/>
  <c r="AN5" i="24" s="1"/>
  <c r="CD312" i="24"/>
  <c r="CD305" i="24"/>
  <c r="CD267" i="24"/>
  <c r="CD311" i="24"/>
  <c r="CD222" i="24"/>
  <c r="CD235" i="24"/>
  <c r="CD295" i="24"/>
  <c r="CD220" i="24"/>
  <c r="CD257" i="24"/>
  <c r="CD242" i="24"/>
  <c r="CD263" i="24"/>
  <c r="CD316" i="24"/>
  <c r="CD218" i="24"/>
  <c r="CD308" i="24"/>
  <c r="CD266" i="24"/>
  <c r="CD269" i="24"/>
  <c r="CD292" i="24"/>
  <c r="CD264" i="24"/>
  <c r="CD288" i="24"/>
  <c r="CD237" i="24"/>
  <c r="CD221" i="24"/>
  <c r="CD272" i="24"/>
  <c r="CD296" i="24"/>
  <c r="CD310" i="24"/>
  <c r="CD254" i="24"/>
  <c r="CD253" i="24"/>
  <c r="CD238" i="24"/>
  <c r="CD280" i="24"/>
  <c r="CD300" i="24"/>
  <c r="CD232" i="24"/>
  <c r="CD228" i="24"/>
  <c r="CD284" i="24"/>
  <c r="CD281" i="24"/>
  <c r="CD301" i="24"/>
  <c r="CD262" i="24"/>
  <c r="CD223" i="24"/>
  <c r="W110" i="25"/>
  <c r="Z110" i="25" s="1"/>
  <c r="AA110" i="25" s="1"/>
  <c r="AB110" i="25" s="1"/>
  <c r="AI110" i="25" s="1"/>
  <c r="V5" i="25"/>
  <c r="X5" i="25" s="1"/>
  <c r="CD24" i="25"/>
  <c r="CD10" i="25"/>
  <c r="CD19" i="25"/>
  <c r="CD15" i="25"/>
  <c r="CD30" i="25"/>
  <c r="CD16" i="25"/>
  <c r="CD8" i="25"/>
  <c r="W5" i="25"/>
  <c r="CD34" i="25"/>
  <c r="CD22" i="25"/>
  <c r="CD27" i="25"/>
  <c r="CD18" i="25"/>
  <c r="CD77" i="25"/>
  <c r="CD11" i="25"/>
  <c r="CD23" i="25"/>
  <c r="CD28" i="25"/>
  <c r="CD35" i="25"/>
  <c r="CD9" i="25"/>
  <c r="CD7" i="25"/>
  <c r="CD66" i="25"/>
  <c r="CD5" i="25"/>
  <c r="AF180" i="25"/>
  <c r="AF300" i="25"/>
  <c r="AF124" i="25"/>
  <c r="AF133" i="25"/>
  <c r="AF197" i="25"/>
  <c r="AF113" i="25"/>
  <c r="AF122" i="25"/>
  <c r="AF173" i="25"/>
  <c r="AF240" i="25"/>
  <c r="AF120" i="25"/>
  <c r="AF315" i="25"/>
  <c r="AF117" i="25"/>
  <c r="AF142" i="25"/>
  <c r="AF242" i="25"/>
  <c r="AF208" i="25"/>
  <c r="AF218" i="25"/>
  <c r="AF157" i="25"/>
  <c r="AF228" i="25"/>
  <c r="AF203" i="25"/>
  <c r="AF291" i="25"/>
  <c r="AF287" i="25"/>
  <c r="AF159" i="25"/>
  <c r="AF191" i="25"/>
  <c r="AF210" i="25"/>
  <c r="AF252" i="25"/>
  <c r="AF303" i="25"/>
  <c r="AF130" i="25"/>
  <c r="AF202" i="25"/>
  <c r="AF299" i="25"/>
  <c r="AF166" i="25"/>
  <c r="AF198" i="25"/>
  <c r="AF286" i="25"/>
  <c r="AF127" i="25"/>
  <c r="AF194" i="25"/>
  <c r="AF247" i="25"/>
  <c r="AF132" i="25"/>
  <c r="AF196" i="25"/>
  <c r="AF201" i="25"/>
  <c r="AF188" i="25"/>
  <c r="AF279" i="25"/>
  <c r="AF209" i="25"/>
  <c r="AF136" i="25"/>
  <c r="AF152" i="25"/>
  <c r="AF184" i="25"/>
  <c r="AF311" i="25"/>
  <c r="AF313" i="25"/>
  <c r="AF168" i="25"/>
  <c r="AF187" i="25"/>
  <c r="AF151" i="25"/>
  <c r="AF294" i="25"/>
  <c r="AF167" i="25"/>
  <c r="AF254" i="25"/>
  <c r="AF259" i="25"/>
  <c r="AF256" i="25"/>
  <c r="AF284" i="25"/>
  <c r="AF114" i="25"/>
  <c r="AF263" i="25"/>
  <c r="AF200" i="25"/>
  <c r="AF302" i="25"/>
  <c r="AF312" i="25"/>
  <c r="AF225" i="25"/>
  <c r="AF219" i="25"/>
  <c r="AF131" i="25"/>
  <c r="AF172" i="25"/>
  <c r="AF271" i="25"/>
  <c r="AF176" i="25"/>
  <c r="AF222" i="25"/>
  <c r="AF217" i="25"/>
  <c r="AF199" i="25"/>
  <c r="AF316" i="25"/>
  <c r="AF293" i="25"/>
  <c r="AF281" i="25"/>
  <c r="AF226" i="25"/>
  <c r="AF241" i="25"/>
  <c r="AF236" i="25"/>
  <c r="AF268" i="25"/>
  <c r="AF234" i="25"/>
  <c r="AF266" i="25"/>
  <c r="AF244" i="25"/>
  <c r="AF285" i="25"/>
  <c r="AF273" i="25"/>
  <c r="AF237" i="25"/>
  <c r="AF276" i="25"/>
  <c r="AF255" i="25"/>
  <c r="AF253" i="25"/>
  <c r="AF164" i="25"/>
  <c r="AF156" i="25"/>
  <c r="AF128" i="25"/>
  <c r="AF144" i="25"/>
  <c r="AF160" i="25"/>
  <c r="AF192" i="25"/>
  <c r="AF310" i="25"/>
  <c r="AF314" i="25"/>
  <c r="AF267" i="25"/>
  <c r="AF231" i="25"/>
  <c r="AF181" i="25"/>
  <c r="AF158" i="25"/>
  <c r="AF245" i="25"/>
  <c r="AF306" i="25"/>
  <c r="AF125" i="25"/>
  <c r="AF126" i="25"/>
  <c r="AF305" i="25"/>
  <c r="AF38" i="25"/>
  <c r="AF146" i="25"/>
  <c r="AF207" i="25"/>
  <c r="AF280" i="25"/>
  <c r="AF246" i="25"/>
  <c r="AF239" i="25"/>
  <c r="AF24" i="25"/>
  <c r="AF260" i="25"/>
  <c r="AF137" i="25"/>
  <c r="AF169" i="25"/>
  <c r="AF162" i="25"/>
  <c r="AF216" i="25"/>
  <c r="AF223" i="25"/>
  <c r="AF248" i="25"/>
  <c r="AF235" i="25"/>
  <c r="AF155" i="25"/>
  <c r="AF138" i="25"/>
  <c r="AF170" i="25"/>
  <c r="AF264" i="25"/>
  <c r="AF309" i="25"/>
  <c r="AF257" i="25"/>
  <c r="AF141" i="25"/>
  <c r="AF206" i="25"/>
  <c r="AF283" i="25"/>
  <c r="AF243" i="25"/>
  <c r="AF139" i="25"/>
  <c r="AF274" i="25"/>
  <c r="AF258" i="25"/>
  <c r="AF297" i="25"/>
  <c r="AF183" i="25"/>
  <c r="AF308" i="25"/>
  <c r="AF112" i="25"/>
  <c r="AF224" i="25"/>
  <c r="AF233" i="25"/>
  <c r="AF227" i="25"/>
  <c r="AF296" i="25"/>
  <c r="AF189" i="25"/>
  <c r="AF262" i="25"/>
  <c r="AF249" i="25"/>
  <c r="AF129" i="25"/>
  <c r="AF145" i="25"/>
  <c r="AF161" i="25"/>
  <c r="AF177" i="25"/>
  <c r="AF193" i="25"/>
  <c r="AF150" i="25"/>
  <c r="AF182" i="25"/>
  <c r="AF270" i="25"/>
  <c r="AF147" i="25"/>
  <c r="AF265" i="25"/>
  <c r="AF171" i="25"/>
  <c r="AF292" i="25"/>
  <c r="AF195" i="25"/>
  <c r="AF282" i="25"/>
  <c r="AF289" i="25"/>
  <c r="AF154" i="25"/>
  <c r="AF186" i="25"/>
  <c r="AF123" i="25"/>
  <c r="AF232" i="25"/>
  <c r="AF238" i="25"/>
  <c r="AF204" i="25"/>
  <c r="AF121" i="25"/>
  <c r="AF290" i="25"/>
  <c r="AF190" i="25"/>
  <c r="AF88" i="25"/>
  <c r="AF230" i="25"/>
  <c r="AF135" i="25"/>
  <c r="AF304" i="25"/>
  <c r="AF251" i="25"/>
  <c r="AF149" i="25"/>
  <c r="AF301" i="25"/>
  <c r="AF295" i="25"/>
  <c r="AF221" i="25"/>
  <c r="AF272" i="25"/>
  <c r="AF115" i="25"/>
  <c r="AF178" i="25"/>
  <c r="AF46" i="25"/>
  <c r="AF179" i="25"/>
  <c r="AF250" i="25"/>
  <c r="AF118" i="25"/>
  <c r="AF220" i="25"/>
  <c r="AF119" i="25"/>
  <c r="AF153" i="25"/>
  <c r="AF185" i="25"/>
  <c r="AF298" i="25"/>
  <c r="AF261" i="25"/>
  <c r="AF277" i="25"/>
  <c r="AF148" i="25"/>
  <c r="AF140" i="25"/>
  <c r="AF111" i="25"/>
  <c r="AF288" i="25"/>
  <c r="AF269" i="25"/>
  <c r="AF307" i="25"/>
  <c r="AF116" i="25"/>
  <c r="AF229" i="25"/>
  <c r="AF174" i="25"/>
  <c r="AF205" i="25"/>
  <c r="AF275" i="25"/>
  <c r="AF165" i="25"/>
  <c r="AF278" i="25"/>
  <c r="AF143" i="25"/>
  <c r="AF175" i="25"/>
  <c r="AF134" i="25"/>
  <c r="AF163" i="25"/>
  <c r="AF39" i="25"/>
  <c r="AF65" i="25"/>
  <c r="AF33" i="25"/>
  <c r="AF19" i="25"/>
  <c r="AF53" i="25"/>
  <c r="AF94" i="25"/>
  <c r="AF102" i="25"/>
  <c r="AF69" i="25"/>
  <c r="AF28" i="25"/>
  <c r="AF79" i="25"/>
  <c r="AF29" i="25"/>
  <c r="AF85" i="25"/>
  <c r="AF41" i="25"/>
  <c r="AF75" i="25"/>
  <c r="AF91" i="25"/>
  <c r="AF95" i="25"/>
  <c r="AF16" i="25"/>
  <c r="AF93" i="25"/>
  <c r="AF97" i="25"/>
  <c r="AF101" i="25"/>
  <c r="AF105" i="25"/>
  <c r="AF45" i="25"/>
  <c r="AF58" i="25"/>
  <c r="AF43" i="25"/>
  <c r="AF56" i="25"/>
  <c r="AF86" i="25"/>
  <c r="AF13" i="25"/>
  <c r="AF71" i="25"/>
  <c r="AF72" i="25"/>
  <c r="AF87" i="25"/>
  <c r="AF21" i="25"/>
  <c r="AF98" i="25"/>
  <c r="AF89" i="25"/>
  <c r="AF6" i="25"/>
  <c r="AF10" i="25"/>
  <c r="AF61" i="25"/>
  <c r="AF15" i="25"/>
  <c r="AF67" i="25"/>
  <c r="AF54" i="25"/>
  <c r="AF26" i="25"/>
  <c r="AF32" i="25"/>
  <c r="AF103" i="25"/>
  <c r="AF81" i="25"/>
  <c r="AF99" i="25"/>
  <c r="AF37" i="25"/>
  <c r="AF20" i="25"/>
  <c r="AF70" i="25"/>
  <c r="AF74" i="25"/>
  <c r="AF18" i="25"/>
  <c r="AF42" i="25"/>
  <c r="AF48" i="25"/>
  <c r="AF80" i="25"/>
  <c r="AF78" i="25"/>
  <c r="AF27" i="25"/>
  <c r="AF47" i="25"/>
  <c r="AF63" i="25"/>
  <c r="AF57" i="25"/>
  <c r="AF73" i="25"/>
  <c r="AF31" i="25"/>
  <c r="AF51" i="25"/>
  <c r="AF92" i="25"/>
  <c r="AF104" i="25"/>
  <c r="AF52" i="25"/>
  <c r="AF82" i="25"/>
  <c r="AF60" i="25"/>
  <c r="AF90" i="25"/>
  <c r="AF66" i="25"/>
  <c r="AF76" i="25"/>
  <c r="AF30" i="25"/>
  <c r="AF8" i="25"/>
  <c r="AF17" i="25"/>
  <c r="AF34" i="25"/>
  <c r="AF23" i="25"/>
  <c r="AF50" i="25"/>
  <c r="AF59" i="25"/>
  <c r="AF44" i="25"/>
  <c r="AF40" i="25"/>
  <c r="AF22" i="25"/>
  <c r="AF35" i="25"/>
  <c r="AF12" i="25"/>
  <c r="AF64" i="25"/>
  <c r="AF62" i="25"/>
  <c r="AF14" i="25"/>
  <c r="AF25" i="25"/>
  <c r="AF77" i="25"/>
  <c r="AF7" i="25"/>
  <c r="AF11" i="25"/>
  <c r="AF83" i="25"/>
  <c r="AF49" i="25"/>
  <c r="AF84" i="25"/>
  <c r="AF55" i="25"/>
  <c r="AF96" i="25"/>
  <c r="AF100" i="25"/>
  <c r="AF9" i="25"/>
  <c r="AF36" i="25"/>
  <c r="AF68" i="25"/>
  <c r="AB277" i="25"/>
  <c r="AI277" i="25" s="1"/>
  <c r="AS277" i="25" s="1"/>
  <c r="AB232" i="25"/>
  <c r="AI232" i="25" s="1"/>
  <c r="AS232" i="25" s="1"/>
  <c r="AB238" i="25"/>
  <c r="AI238" i="25" s="1"/>
  <c r="AS238" i="25" s="1"/>
  <c r="AB204" i="25"/>
  <c r="AI204" i="25" s="1"/>
  <c r="AB197" i="25"/>
  <c r="AI197" i="25" s="1"/>
  <c r="AB122" i="25"/>
  <c r="AI122" i="25" s="1"/>
  <c r="AB294" i="25"/>
  <c r="AI294" i="25" s="1"/>
  <c r="AS294" i="25" s="1"/>
  <c r="AB117" i="25"/>
  <c r="AI117" i="25" s="1"/>
  <c r="AB243" i="25"/>
  <c r="AI243" i="25" s="1"/>
  <c r="AS243" i="25" s="1"/>
  <c r="AB139" i="25"/>
  <c r="AI139" i="25" s="1"/>
  <c r="AB301" i="25"/>
  <c r="AI301" i="25" s="1"/>
  <c r="AS301" i="25" s="1"/>
  <c r="AB259" i="25"/>
  <c r="AI259" i="25" s="1"/>
  <c r="AS259" i="25" s="1"/>
  <c r="AB226" i="25"/>
  <c r="AI226" i="25" s="1"/>
  <c r="AS226" i="25" s="1"/>
  <c r="AB112" i="25"/>
  <c r="AI112" i="25" s="1"/>
  <c r="AB128" i="25"/>
  <c r="AI128" i="25" s="1"/>
  <c r="AB144" i="25"/>
  <c r="AI144" i="25" s="1"/>
  <c r="AB160" i="25"/>
  <c r="AI160" i="25" s="1"/>
  <c r="AB229" i="25"/>
  <c r="AI229" i="25" s="1"/>
  <c r="AS229" i="25" s="1"/>
  <c r="AB287" i="25"/>
  <c r="AI287" i="25" s="1"/>
  <c r="AS287" i="25" s="1"/>
  <c r="AB159" i="25"/>
  <c r="AI159" i="25" s="1"/>
  <c r="AB191" i="25"/>
  <c r="AI191" i="25" s="1"/>
  <c r="AB249" i="25"/>
  <c r="AI249" i="25" s="1"/>
  <c r="AS249" i="25" s="1"/>
  <c r="AB129" i="25"/>
  <c r="AI129" i="25" s="1"/>
  <c r="AB193" i="25"/>
  <c r="AI193" i="25" s="1"/>
  <c r="AB250" i="25"/>
  <c r="AI250" i="25" s="1"/>
  <c r="AS250" i="25" s="1"/>
  <c r="AB311" i="25"/>
  <c r="AI311" i="25" s="1"/>
  <c r="AS311" i="25" s="1"/>
  <c r="AB260" i="25"/>
  <c r="AI260" i="25" s="1"/>
  <c r="AS260" i="25" s="1"/>
  <c r="AB219" i="25"/>
  <c r="AI219" i="25" s="1"/>
  <c r="AS219" i="25" s="1"/>
  <c r="AB187" i="25"/>
  <c r="AI187" i="25" s="1"/>
  <c r="AB222" i="25"/>
  <c r="AI222" i="25" s="1"/>
  <c r="AS222" i="25" s="1"/>
  <c r="AB264" i="25"/>
  <c r="AI264" i="25" s="1"/>
  <c r="AS264" i="25" s="1"/>
  <c r="AB290" i="25"/>
  <c r="AI290" i="25" s="1"/>
  <c r="AS290" i="25" s="1"/>
  <c r="AB295" i="25"/>
  <c r="AI295" i="25" s="1"/>
  <c r="AS295" i="25" s="1"/>
  <c r="AB245" i="25"/>
  <c r="AI245" i="25" s="1"/>
  <c r="AS245" i="25" s="1"/>
  <c r="AB125" i="25"/>
  <c r="AI125" i="25" s="1"/>
  <c r="AB192" i="25"/>
  <c r="AI192" i="25" s="1"/>
  <c r="AB307" i="25"/>
  <c r="AI307" i="25" s="1"/>
  <c r="AS307" i="25" s="1"/>
  <c r="AB116" i="25"/>
  <c r="AI116" i="25" s="1"/>
  <c r="AB280" i="25"/>
  <c r="AI280" i="25" s="1"/>
  <c r="AS280" i="25" s="1"/>
  <c r="AB262" i="25"/>
  <c r="AI262" i="25" s="1"/>
  <c r="AS262" i="25" s="1"/>
  <c r="AB244" i="25"/>
  <c r="AI244" i="25" s="1"/>
  <c r="AS244" i="25" s="1"/>
  <c r="AB210" i="25"/>
  <c r="AI210" i="25" s="1"/>
  <c r="AB302" i="25"/>
  <c r="AI302" i="25" s="1"/>
  <c r="AS302" i="25" s="1"/>
  <c r="AB145" i="25"/>
  <c r="AI145" i="25" s="1"/>
  <c r="AB239" i="25"/>
  <c r="AI239" i="25" s="1"/>
  <c r="AS239" i="25" s="1"/>
  <c r="AB270" i="25"/>
  <c r="AI270" i="25" s="1"/>
  <c r="AS270" i="25" s="1"/>
  <c r="AB118" i="25"/>
  <c r="AI118" i="25" s="1"/>
  <c r="AB119" i="25"/>
  <c r="AI119" i="25" s="1"/>
  <c r="AB195" i="25"/>
  <c r="AI195" i="25" s="1"/>
  <c r="AB313" i="25"/>
  <c r="AI313" i="25" s="1"/>
  <c r="AS313" i="25" s="1"/>
  <c r="AB267" i="25"/>
  <c r="AI267" i="25" s="1"/>
  <c r="AS267" i="25" s="1"/>
  <c r="AB248" i="25"/>
  <c r="AI248" i="25" s="1"/>
  <c r="AS248" i="25" s="1"/>
  <c r="AB235" i="25"/>
  <c r="AI235" i="25" s="1"/>
  <c r="AS235" i="25" s="1"/>
  <c r="AB155" i="25"/>
  <c r="AI155" i="25" s="1"/>
  <c r="AB123" i="25"/>
  <c r="AI123" i="25" s="1"/>
  <c r="AB300" i="25"/>
  <c r="AI300" i="25" s="1"/>
  <c r="AS300" i="25" s="1"/>
  <c r="AB190" i="25"/>
  <c r="AI190" i="25" s="1"/>
  <c r="AB293" i="25"/>
  <c r="AI293" i="25" s="1"/>
  <c r="AS293" i="25" s="1"/>
  <c r="AB141" i="25"/>
  <c r="AI141" i="25" s="1"/>
  <c r="AB206" i="25"/>
  <c r="AI206" i="25" s="1"/>
  <c r="AB304" i="25"/>
  <c r="AI304" i="25" s="1"/>
  <c r="AS304" i="25" s="1"/>
  <c r="AB231" i="25"/>
  <c r="AI231" i="25" s="1"/>
  <c r="AS231" i="25" s="1"/>
  <c r="AB149" i="25"/>
  <c r="AI149" i="25" s="1"/>
  <c r="AB181" i="25"/>
  <c r="AI181" i="25" s="1"/>
  <c r="AB242" i="25"/>
  <c r="AI242" i="25" s="1"/>
  <c r="AS242" i="25" s="1"/>
  <c r="AB208" i="25"/>
  <c r="AI208" i="25" s="1"/>
  <c r="AB218" i="25"/>
  <c r="AI218" i="25" s="1"/>
  <c r="AS218" i="25" s="1"/>
  <c r="AB258" i="25"/>
  <c r="AI258" i="25" s="1"/>
  <c r="AS258" i="25" s="1"/>
  <c r="AB221" i="25"/>
  <c r="AI221" i="25" s="1"/>
  <c r="AS221" i="25" s="1"/>
  <c r="AB136" i="25"/>
  <c r="AI136" i="25" s="1"/>
  <c r="AB152" i="25"/>
  <c r="AI152" i="25" s="1"/>
  <c r="AB146" i="25"/>
  <c r="AI146" i="25" s="1"/>
  <c r="AB236" i="25"/>
  <c r="AI236" i="25" s="1"/>
  <c r="AS236" i="25" s="1"/>
  <c r="AB268" i="25"/>
  <c r="AI268" i="25" s="1"/>
  <c r="AS268" i="25" s="1"/>
  <c r="AB233" i="25"/>
  <c r="AI233" i="25" s="1"/>
  <c r="AS233" i="25" s="1"/>
  <c r="AB263" i="25"/>
  <c r="AI263" i="25" s="1"/>
  <c r="AS263" i="25" s="1"/>
  <c r="AB296" i="25"/>
  <c r="AI296" i="25" s="1"/>
  <c r="AS296" i="25" s="1"/>
  <c r="AB273" i="25"/>
  <c r="AI273" i="25" s="1"/>
  <c r="AS273" i="25" s="1"/>
  <c r="AB161" i="25"/>
  <c r="AI161" i="25" s="1"/>
  <c r="AB179" i="25"/>
  <c r="AI179" i="25" s="1"/>
  <c r="AB176" i="25"/>
  <c r="AI176" i="25" s="1"/>
  <c r="AB130" i="25"/>
  <c r="AI130" i="25" s="1"/>
  <c r="AB143" i="25"/>
  <c r="AI143" i="25" s="1"/>
  <c r="AB175" i="25"/>
  <c r="AI175" i="25" s="1"/>
  <c r="AB299" i="25"/>
  <c r="AI299" i="25" s="1"/>
  <c r="AS299" i="25" s="1"/>
  <c r="AB163" i="25"/>
  <c r="AI163" i="25" s="1"/>
  <c r="AB223" i="25"/>
  <c r="AI223" i="25" s="1"/>
  <c r="AS223" i="25" s="1"/>
  <c r="AB309" i="25"/>
  <c r="AI309" i="25" s="1"/>
  <c r="AS309" i="25" s="1"/>
  <c r="AB133" i="25"/>
  <c r="AI133" i="25" s="1"/>
  <c r="AB281" i="25"/>
  <c r="AI281" i="25" s="1"/>
  <c r="AS281" i="25" s="1"/>
  <c r="AB228" i="25"/>
  <c r="AI228" i="25" s="1"/>
  <c r="AS228" i="25" s="1"/>
  <c r="AB297" i="25"/>
  <c r="AI297" i="25" s="1"/>
  <c r="AS297" i="25" s="1"/>
  <c r="AB305" i="25"/>
  <c r="AI305" i="25" s="1"/>
  <c r="AS305" i="25" s="1"/>
  <c r="AB227" i="25"/>
  <c r="AI227" i="25" s="1"/>
  <c r="AS227" i="25" s="1"/>
  <c r="AB234" i="25"/>
  <c r="AI234" i="25" s="1"/>
  <c r="AS234" i="25" s="1"/>
  <c r="AB200" i="25"/>
  <c r="AI200" i="25" s="1"/>
  <c r="AB266" i="25"/>
  <c r="AI266" i="25" s="1"/>
  <c r="AS266" i="25" s="1"/>
  <c r="AB174" i="25"/>
  <c r="AI174" i="25" s="1"/>
  <c r="AB246" i="25"/>
  <c r="AI246" i="25" s="1"/>
  <c r="AS246" i="25" s="1"/>
  <c r="AB285" i="25"/>
  <c r="AI285" i="25" s="1"/>
  <c r="AS285" i="25" s="1"/>
  <c r="AB177" i="25"/>
  <c r="AI177" i="25" s="1"/>
  <c r="AB147" i="25"/>
  <c r="AI147" i="25" s="1"/>
  <c r="AB237" i="25"/>
  <c r="AI237" i="25" s="1"/>
  <c r="AS237" i="25" s="1"/>
  <c r="AB252" i="25"/>
  <c r="AI252" i="25" s="1"/>
  <c r="AS252" i="25" s="1"/>
  <c r="AB303" i="25"/>
  <c r="AI303" i="25" s="1"/>
  <c r="AS303" i="25" s="1"/>
  <c r="AB225" i="25"/>
  <c r="AI225" i="25" s="1"/>
  <c r="AS225" i="25" s="1"/>
  <c r="AB131" i="25"/>
  <c r="AI131" i="25" s="1"/>
  <c r="AI70" i="25"/>
  <c r="AI69" i="25"/>
  <c r="AI64" i="25"/>
  <c r="AI11" i="25"/>
  <c r="AI61" i="25"/>
  <c r="AI31" i="25"/>
  <c r="AI51" i="25"/>
  <c r="AI81" i="25"/>
  <c r="AI93" i="25"/>
  <c r="AI97" i="25"/>
  <c r="AI101" i="25"/>
  <c r="AI105" i="25"/>
  <c r="AI86" i="25"/>
  <c r="AI71" i="25"/>
  <c r="AI42" i="25"/>
  <c r="AI28" i="25"/>
  <c r="AI62" i="25"/>
  <c r="AI15" i="25"/>
  <c r="AI67" i="25"/>
  <c r="AI103" i="25"/>
  <c r="AI96" i="25"/>
  <c r="AI100" i="25"/>
  <c r="AI8" i="25"/>
  <c r="AI30" i="25"/>
  <c r="AI20" i="25"/>
  <c r="AI59" i="25"/>
  <c r="AI21" i="25"/>
  <c r="AI48" i="25"/>
  <c r="AI79" i="25"/>
  <c r="AI83" i="25"/>
  <c r="AI41" i="25"/>
  <c r="AI17" i="25"/>
  <c r="AI88" i="25"/>
  <c r="AI53" i="25"/>
  <c r="AI94" i="25"/>
  <c r="AI102" i="25"/>
  <c r="AI22" i="25"/>
  <c r="AI35" i="25"/>
  <c r="AI78" i="25"/>
  <c r="AI27" i="25"/>
  <c r="AI47" i="25"/>
  <c r="AI63" i="25"/>
  <c r="AI92" i="25"/>
  <c r="AI104" i="25"/>
  <c r="AI9" i="25"/>
  <c r="AI52" i="25"/>
  <c r="AI216" i="25"/>
  <c r="AS216" i="25" s="1"/>
  <c r="X76" i="25"/>
  <c r="X73" i="25"/>
  <c r="X75" i="25"/>
  <c r="X111" i="25"/>
  <c r="X316" i="25"/>
  <c r="X45" i="25"/>
  <c r="X86" i="25"/>
  <c r="AI199" i="25"/>
  <c r="X124" i="25"/>
  <c r="X50" i="25"/>
  <c r="X19" i="25"/>
  <c r="X164" i="25"/>
  <c r="X299" i="25"/>
  <c r="AI114" i="25"/>
  <c r="X252" i="25"/>
  <c r="AI278" i="25"/>
  <c r="AS278" i="25" s="1"/>
  <c r="AI138" i="25"/>
  <c r="X125" i="25"/>
  <c r="X225" i="25"/>
  <c r="X72" i="25"/>
  <c r="X33" i="25"/>
  <c r="X17" i="25"/>
  <c r="X23" i="25"/>
  <c r="X98" i="25"/>
  <c r="X20" i="25"/>
  <c r="X277" i="25"/>
  <c r="X172" i="25"/>
  <c r="X44" i="25"/>
  <c r="X132" i="25"/>
  <c r="X196" i="25"/>
  <c r="X122" i="25"/>
  <c r="X204" i="25"/>
  <c r="X79" i="25"/>
  <c r="X24" i="25"/>
  <c r="X60" i="25"/>
  <c r="X49" i="25"/>
  <c r="X171" i="25"/>
  <c r="X208" i="25"/>
  <c r="X269" i="25"/>
  <c r="X300" i="25"/>
  <c r="X18" i="25"/>
  <c r="X99" i="25"/>
  <c r="X83" i="25"/>
  <c r="X179" i="25"/>
  <c r="X136" i="25"/>
  <c r="X184" i="25"/>
  <c r="X41" i="25"/>
  <c r="X81" i="25"/>
  <c r="X29" i="25"/>
  <c r="X85" i="25"/>
  <c r="X31" i="25"/>
  <c r="X96" i="25"/>
  <c r="X104" i="25"/>
  <c r="X313" i="25"/>
  <c r="X144" i="25"/>
  <c r="AI196" i="25"/>
  <c r="X52" i="25"/>
  <c r="X84" i="25"/>
  <c r="X147" i="25"/>
  <c r="X152" i="25"/>
  <c r="X153" i="25"/>
  <c r="X182" i="25"/>
  <c r="X149" i="25"/>
  <c r="X46" i="25"/>
  <c r="X68" i="25"/>
  <c r="X82" i="25"/>
  <c r="X70" i="25"/>
  <c r="X209" i="25"/>
  <c r="X315" i="25"/>
  <c r="X54" i="25"/>
  <c r="X16" i="25"/>
  <c r="X32" i="25"/>
  <c r="X67" i="25"/>
  <c r="X200" i="25"/>
  <c r="AI312" i="25"/>
  <c r="AS312" i="25" s="1"/>
  <c r="AI310" i="25"/>
  <c r="AS310" i="25" s="1"/>
  <c r="AI24" i="25"/>
  <c r="X57" i="25"/>
  <c r="X61" i="25"/>
  <c r="X92" i="25"/>
  <c r="X100" i="25"/>
  <c r="AI36" i="25"/>
  <c r="AI68" i="25"/>
  <c r="AI253" i="25"/>
  <c r="AS253" i="25" s="1"/>
  <c r="AI207" i="25"/>
  <c r="AI201" i="25"/>
  <c r="X290" i="25"/>
  <c r="AI76" i="25"/>
  <c r="X288" i="25"/>
  <c r="AI14" i="25"/>
  <c r="X224" i="25"/>
  <c r="X284" i="25"/>
  <c r="AI38" i="25"/>
  <c r="X174" i="25"/>
  <c r="AI54" i="25"/>
  <c r="X146" i="25"/>
  <c r="X253" i="25"/>
  <c r="AI275" i="25"/>
  <c r="AS275" i="25" s="1"/>
  <c r="AI82" i="25"/>
  <c r="X236" i="25"/>
  <c r="X263" i="25"/>
  <c r="AI168" i="25"/>
  <c r="AI156" i="25"/>
  <c r="AI172" i="25"/>
  <c r="AI132" i="25"/>
  <c r="AI180" i="25"/>
  <c r="AI37" i="25"/>
  <c r="AI56" i="25"/>
  <c r="AI279" i="25"/>
  <c r="AS279" i="25" s="1"/>
  <c r="AI44" i="25"/>
  <c r="AI274" i="25"/>
  <c r="AS274" i="25" s="1"/>
  <c r="AI6" i="25"/>
  <c r="AI298" i="25"/>
  <c r="AS298" i="25" s="1"/>
  <c r="X87" i="25"/>
  <c r="X183" i="25"/>
  <c r="AI135" i="25"/>
  <c r="X308" i="25"/>
  <c r="X121" i="25"/>
  <c r="X155" i="25"/>
  <c r="X37" i="25"/>
  <c r="X123" i="25"/>
  <c r="X180" i="25"/>
  <c r="AI87" i="25"/>
  <c r="X165" i="25"/>
  <c r="X189" i="25"/>
  <c r="AI142" i="25"/>
  <c r="X258" i="25"/>
  <c r="X245" i="25"/>
  <c r="X12" i="25"/>
  <c r="X43" i="25"/>
  <c r="X231" i="25"/>
  <c r="X243" i="25"/>
  <c r="X301" i="25"/>
  <c r="X22" i="25"/>
  <c r="X42" i="25"/>
  <c r="X78" i="25"/>
  <c r="X114" i="25"/>
  <c r="X115" i="25"/>
  <c r="AI288" i="25"/>
  <c r="AS288" i="25" s="1"/>
  <c r="AI115" i="25"/>
  <c r="X168" i="25"/>
  <c r="X178" i="25"/>
  <c r="AI271" i="25"/>
  <c r="AS271" i="25" s="1"/>
  <c r="X7" i="25"/>
  <c r="X11" i="25"/>
  <c r="AI29" i="25"/>
  <c r="X273" i="25"/>
  <c r="X307" i="25"/>
  <c r="AI26" i="25"/>
  <c r="X118" i="25"/>
  <c r="X304" i="25"/>
  <c r="X278" i="25"/>
  <c r="X303" i="25"/>
  <c r="X221" i="25"/>
  <c r="X163" i="25"/>
  <c r="X210" i="25"/>
  <c r="X233" i="25"/>
  <c r="X271" i="25"/>
  <c r="X62" i="25"/>
  <c r="AI162" i="25"/>
  <c r="X205" i="25"/>
  <c r="X186" i="25"/>
  <c r="X240" i="25"/>
  <c r="X58" i="25"/>
  <c r="X74" i="25"/>
  <c r="AI13" i="25"/>
  <c r="AI230" i="25"/>
  <c r="AS230" i="25" s="1"/>
  <c r="X167" i="25"/>
  <c r="X187" i="25"/>
  <c r="X30" i="25"/>
  <c r="X113" i="25"/>
  <c r="X274" i="25"/>
  <c r="X156" i="25"/>
  <c r="X295" i="25"/>
  <c r="X228" i="25"/>
  <c r="X21" i="25"/>
  <c r="AI158" i="25"/>
  <c r="AI40" i="25"/>
  <c r="AI12" i="25"/>
  <c r="X112" i="25"/>
  <c r="X27" i="25"/>
  <c r="X47" i="25"/>
  <c r="X63" i="25"/>
  <c r="X126" i="25"/>
  <c r="X203" i="25"/>
  <c r="X306" i="25"/>
  <c r="X35" i="25"/>
  <c r="X80" i="25"/>
  <c r="X151" i="25"/>
  <c r="X25" i="25"/>
  <c r="X176" i="25"/>
  <c r="X36" i="25"/>
  <c r="X66" i="25"/>
  <c r="X239" i="25"/>
  <c r="X275" i="25"/>
  <c r="AI49" i="25"/>
  <c r="X272" i="25"/>
  <c r="X202" i="25"/>
  <c r="X310" i="25"/>
  <c r="X266" i="25"/>
  <c r="X314" i="25"/>
  <c r="X94" i="25"/>
  <c r="X103" i="25"/>
  <c r="X160" i="25"/>
  <c r="X15" i="25"/>
  <c r="X131" i="25"/>
  <c r="X195" i="25"/>
  <c r="AI91" i="25"/>
  <c r="X302" i="25"/>
  <c r="X166" i="25"/>
  <c r="AI255" i="25"/>
  <c r="AS255" i="25" s="1"/>
  <c r="X234" i="25"/>
  <c r="X192" i="25"/>
  <c r="AI154" i="25"/>
  <c r="X217" i="25"/>
  <c r="AI121" i="25"/>
  <c r="AI124" i="25"/>
  <c r="X283" i="25"/>
  <c r="X257" i="25"/>
  <c r="AI72" i="25"/>
  <c r="X235" i="25"/>
  <c r="AI241" i="25"/>
  <c r="AS241" i="25" s="1"/>
  <c r="AI126" i="25"/>
  <c r="X281" i="25"/>
  <c r="AI77" i="25"/>
  <c r="X244" i="25"/>
  <c r="AI85" i="25"/>
  <c r="X162" i="25"/>
  <c r="AI291" i="25"/>
  <c r="AS291" i="25" s="1"/>
  <c r="X262" i="25"/>
  <c r="X169" i="25"/>
  <c r="X247" i="25"/>
  <c r="AI165" i="25"/>
  <c r="X255" i="25"/>
  <c r="AI202" i="25"/>
  <c r="X129" i="25"/>
  <c r="X161" i="25"/>
  <c r="X177" i="25"/>
  <c r="X193" i="25"/>
  <c r="AI286" i="25"/>
  <c r="AS286" i="25" s="1"/>
  <c r="AI148" i="25"/>
  <c r="AI186" i="25"/>
  <c r="X230" i="25"/>
  <c r="AI188" i="25"/>
  <c r="X138" i="25"/>
  <c r="X254" i="25"/>
  <c r="X241" i="25"/>
  <c r="X267" i="25"/>
  <c r="X8" i="25"/>
  <c r="AI113" i="25"/>
  <c r="AI217" i="25"/>
  <c r="AS217" i="25" s="1"/>
  <c r="X157" i="25"/>
  <c r="X158" i="25"/>
  <c r="AI316" i="25"/>
  <c r="AS316" i="25" s="1"/>
  <c r="AI34" i="25"/>
  <c r="AI120" i="25"/>
  <c r="X248" i="25"/>
  <c r="AI167" i="25"/>
  <c r="AI283" i="25"/>
  <c r="AS283" i="25" s="1"/>
  <c r="AI18" i="25"/>
  <c r="X142" i="25"/>
  <c r="AI209" i="25"/>
  <c r="X297" i="25"/>
  <c r="X6" i="25"/>
  <c r="X226" i="25"/>
  <c r="X232" i="25"/>
  <c r="AI306" i="25"/>
  <c r="AS306" i="25" s="1"/>
  <c r="X141" i="25"/>
  <c r="X222" i="25"/>
  <c r="AI256" i="25"/>
  <c r="AS256" i="25" s="1"/>
  <c r="AI308" i="25"/>
  <c r="AS308" i="25" s="1"/>
  <c r="AI284" i="25"/>
  <c r="AS284" i="25" s="1"/>
  <c r="AI203" i="25"/>
  <c r="AI272" i="25"/>
  <c r="AS272" i="25" s="1"/>
  <c r="AI57" i="25"/>
  <c r="AI224" i="25"/>
  <c r="AS224" i="25" s="1"/>
  <c r="AI184" i="25"/>
  <c r="AI178" i="25"/>
  <c r="X207" i="25"/>
  <c r="AI7" i="25"/>
  <c r="X250" i="25"/>
  <c r="X237" i="25"/>
  <c r="AI189" i="25"/>
  <c r="AI32" i="25"/>
  <c r="X298" i="25"/>
  <c r="AI55" i="25"/>
  <c r="X130" i="25"/>
  <c r="X268" i="25"/>
  <c r="X185" i="25"/>
  <c r="AI182" i="25"/>
  <c r="X289" i="25"/>
  <c r="AI265" i="25"/>
  <c r="AS265" i="25" s="1"/>
  <c r="AI220" i="25"/>
  <c r="AS220" i="25" s="1"/>
  <c r="AI60" i="25"/>
  <c r="X117" i="25"/>
  <c r="X181" i="25"/>
  <c r="AI137" i="25"/>
  <c r="AI153" i="25"/>
  <c r="AI169" i="25"/>
  <c r="AI185" i="25"/>
  <c r="AI166" i="25"/>
  <c r="X229" i="25"/>
  <c r="X296" i="25"/>
  <c r="AI261" i="25"/>
  <c r="AS261" i="25" s="1"/>
  <c r="AI194" i="25"/>
  <c r="AI16" i="25"/>
  <c r="AI247" i="25"/>
  <c r="AS247" i="25" s="1"/>
  <c r="AI289" i="25"/>
  <c r="AS289" i="25" s="1"/>
  <c r="AI282" i="25"/>
  <c r="AS282" i="25" s="1"/>
  <c r="X251" i="25"/>
  <c r="AI170" i="25"/>
  <c r="X223" i="25"/>
  <c r="AI39" i="25"/>
  <c r="X264" i="25"/>
  <c r="AI240" i="25"/>
  <c r="AS240" i="25" s="1"/>
  <c r="X190" i="25"/>
  <c r="AI33" i="25"/>
  <c r="AI19" i="25"/>
  <c r="AI157" i="25"/>
  <c r="X291" i="25"/>
  <c r="X261" i="25"/>
  <c r="AI183" i="25"/>
  <c r="X242" i="25"/>
  <c r="AI10" i="25"/>
  <c r="AI269" i="25"/>
  <c r="AS269" i="25" s="1"/>
  <c r="X287" i="25"/>
  <c r="X249" i="25"/>
  <c r="AI84" i="25"/>
  <c r="X282" i="25"/>
  <c r="AI150" i="25"/>
  <c r="X220" i="25"/>
  <c r="X194" i="25"/>
  <c r="AI75" i="25"/>
  <c r="X145" i="25"/>
  <c r="AI134" i="25"/>
  <c r="X198" i="25"/>
  <c r="AI90" i="25"/>
  <c r="X219" i="25"/>
  <c r="X56" i="25"/>
  <c r="X13" i="25"/>
  <c r="X65" i="25"/>
  <c r="X93" i="25"/>
  <c r="X97" i="25"/>
  <c r="X101" i="25"/>
  <c r="X105" i="25"/>
  <c r="AI164" i="25"/>
  <c r="X154" i="25"/>
  <c r="X256" i="25"/>
  <c r="X14" i="25"/>
  <c r="X89" i="25"/>
  <c r="X40" i="25"/>
  <c r="X71" i="25"/>
  <c r="AI140" i="25"/>
  <c r="X170" i="25"/>
  <c r="X309" i="25"/>
  <c r="X279" i="25"/>
  <c r="X38" i="25"/>
  <c r="X173" i="25"/>
  <c r="X201" i="25"/>
  <c r="AI45" i="25"/>
  <c r="X88" i="25"/>
  <c r="X120" i="25"/>
  <c r="X140" i="25"/>
  <c r="AI151" i="25"/>
  <c r="X294" i="25"/>
  <c r="AI58" i="25"/>
  <c r="AI43" i="25"/>
  <c r="AI111" i="25"/>
  <c r="AI173" i="25"/>
  <c r="AI65" i="25"/>
  <c r="X55" i="25"/>
  <c r="X238" i="25"/>
  <c r="AI257" i="25"/>
  <c r="AS257" i="25" s="1"/>
  <c r="AI23" i="25"/>
  <c r="X133" i="25"/>
  <c r="X197" i="25"/>
  <c r="X148" i="25"/>
  <c r="X135" i="25"/>
  <c r="AI315" i="25"/>
  <c r="AS315" i="25" s="1"/>
  <c r="X34" i="25"/>
  <c r="AI74" i="25"/>
  <c r="AI251" i="25"/>
  <c r="AS251" i="25" s="1"/>
  <c r="AI50" i="25"/>
  <c r="AI254" i="25"/>
  <c r="AS254" i="25" s="1"/>
  <c r="X293" i="25"/>
  <c r="X53" i="25"/>
  <c r="X90" i="25"/>
  <c r="X59" i="25"/>
  <c r="X127" i="25"/>
  <c r="X259" i="25"/>
  <c r="X69" i="25"/>
  <c r="X28" i="25"/>
  <c r="X39" i="25"/>
  <c r="X206" i="25"/>
  <c r="X305" i="25"/>
  <c r="X48" i="25"/>
  <c r="AI80" i="25"/>
  <c r="AI98" i="25"/>
  <c r="AI89" i="25"/>
  <c r="X9" i="25"/>
  <c r="X139" i="25"/>
  <c r="X10" i="25"/>
  <c r="AI25" i="25"/>
  <c r="X218" i="25"/>
  <c r="AI73" i="25"/>
  <c r="X199" i="25"/>
  <c r="X95" i="25"/>
  <c r="X246" i="25"/>
  <c r="X285" i="25"/>
  <c r="X26" i="25"/>
  <c r="X51" i="25"/>
  <c r="X102" i="25"/>
  <c r="X276" i="25"/>
  <c r="AI46" i="25"/>
  <c r="X116" i="25"/>
  <c r="X119" i="25"/>
  <c r="X91" i="25"/>
  <c r="X143" i="25"/>
  <c r="X175" i="25"/>
  <c r="X265" i="25"/>
  <c r="X312" i="25"/>
  <c r="X137" i="25"/>
  <c r="X150" i="25"/>
  <c r="X270" i="25"/>
  <c r="AI205" i="25"/>
  <c r="X77" i="25"/>
  <c r="X128" i="25"/>
  <c r="X286" i="25"/>
  <c r="X188" i="25"/>
  <c r="AI171" i="25"/>
  <c r="X64" i="25"/>
  <c r="AI99" i="25"/>
  <c r="X159" i="25"/>
  <c r="X191" i="25"/>
  <c r="AI276" i="25"/>
  <c r="AS276" i="25" s="1"/>
  <c r="AI292" i="25"/>
  <c r="AS292" i="25" s="1"/>
  <c r="X227" i="25"/>
  <c r="X134" i="25"/>
  <c r="AI198" i="25"/>
  <c r="X280" i="25"/>
  <c r="X311" i="25"/>
  <c r="AI314" i="25"/>
  <c r="AS314" i="25" s="1"/>
  <c r="AI127" i="25"/>
  <c r="AI95" i="25"/>
  <c r="X260" i="25"/>
  <c r="X292" i="25"/>
  <c r="AI66" i="25"/>
  <c r="AJ197" i="24"/>
  <c r="AJ127" i="24"/>
  <c r="Y200" i="24"/>
  <c r="Y123" i="24"/>
  <c r="Y310" i="24"/>
  <c r="AJ288" i="24"/>
  <c r="AT288" i="24" s="1"/>
  <c r="BA288" i="24" s="1"/>
  <c r="Y124" i="24"/>
  <c r="AJ121" i="24"/>
  <c r="Y126" i="24"/>
  <c r="Y160" i="24"/>
  <c r="Y140" i="24"/>
  <c r="Y197" i="24"/>
  <c r="Y173" i="24"/>
  <c r="AJ272" i="24"/>
  <c r="AT272" i="24" s="1"/>
  <c r="BA272" i="24" s="1"/>
  <c r="AJ256" i="24"/>
  <c r="AT256" i="24" s="1"/>
  <c r="BA256" i="24" s="1"/>
  <c r="AJ310" i="24"/>
  <c r="AT310" i="24" s="1"/>
  <c r="BA310" i="24" s="1"/>
  <c r="AJ229" i="24"/>
  <c r="AT229" i="24" s="1"/>
  <c r="BA229" i="24" s="1"/>
  <c r="AJ224" i="24"/>
  <c r="AT224" i="24" s="1"/>
  <c r="BA224" i="24" s="1"/>
  <c r="AJ111" i="24"/>
  <c r="AJ268" i="24"/>
  <c r="AT268" i="24" s="1"/>
  <c r="BA268" i="24" s="1"/>
  <c r="Y112" i="24"/>
  <c r="Y111" i="24"/>
  <c r="Y201" i="24"/>
  <c r="AG140" i="24"/>
  <c r="AF140" i="24"/>
  <c r="AF155" i="24"/>
  <c r="Y180" i="24"/>
  <c r="AF187" i="24"/>
  <c r="AG126" i="24"/>
  <c r="AF126" i="24"/>
  <c r="AG160" i="24"/>
  <c r="AF160" i="24"/>
  <c r="AG178" i="24"/>
  <c r="AF178" i="24"/>
  <c r="AG175" i="24"/>
  <c r="AF175" i="24"/>
  <c r="AG197" i="24"/>
  <c r="AF197" i="24"/>
  <c r="AG111" i="24"/>
  <c r="AF111" i="24"/>
  <c r="AG164" i="24"/>
  <c r="AF164" i="24"/>
  <c r="AF153" i="24"/>
  <c r="AJ297" i="24"/>
  <c r="AT297" i="24" s="1"/>
  <c r="BA297" i="24" s="1"/>
  <c r="AG118" i="24"/>
  <c r="AF118" i="24"/>
  <c r="AG173" i="24"/>
  <c r="AF173" i="24"/>
  <c r="AG180" i="24"/>
  <c r="AF180" i="24"/>
  <c r="AG129" i="24"/>
  <c r="AF129" i="24"/>
  <c r="AF169" i="24"/>
  <c r="AF115" i="24"/>
  <c r="AG138" i="24"/>
  <c r="AF138" i="24"/>
  <c r="AF203" i="24"/>
  <c r="AG124" i="24"/>
  <c r="AF124" i="24"/>
  <c r="AF136" i="24"/>
  <c r="AF116" i="24"/>
  <c r="AJ271" i="24"/>
  <c r="AT271" i="24" s="1"/>
  <c r="BA271" i="24" s="1"/>
  <c r="AJ292" i="24"/>
  <c r="AT292" i="24" s="1"/>
  <c r="BA292" i="24" s="1"/>
  <c r="Y243" i="24"/>
  <c r="Y286" i="24"/>
  <c r="AJ221" i="24"/>
  <c r="AT221" i="24" s="1"/>
  <c r="BA221" i="24" s="1"/>
  <c r="AF157" i="24"/>
  <c r="AF195" i="24"/>
  <c r="AF181" i="24"/>
  <c r="AG200" i="24"/>
  <c r="AF200" i="24"/>
  <c r="AG202" i="24"/>
  <c r="AF202" i="24"/>
  <c r="AG135" i="24"/>
  <c r="AF135" i="24"/>
  <c r="Y172" i="24"/>
  <c r="Y175" i="24"/>
  <c r="AF208" i="24"/>
  <c r="AF207" i="24"/>
  <c r="AG121" i="24"/>
  <c r="AF121" i="24"/>
  <c r="AG127" i="24"/>
  <c r="AF127" i="24"/>
  <c r="AJ300" i="24"/>
  <c r="AT300" i="24" s="1"/>
  <c r="BA300" i="24" s="1"/>
  <c r="AJ307" i="24"/>
  <c r="AT307" i="24" s="1"/>
  <c r="BA307" i="24" s="1"/>
  <c r="AF29" i="24"/>
  <c r="AJ227" i="24"/>
  <c r="AT227" i="24" s="1"/>
  <c r="BA227" i="24" s="1"/>
  <c r="AJ250" i="24"/>
  <c r="AT250" i="24" s="1"/>
  <c r="BA250" i="24" s="1"/>
  <c r="AJ251" i="24"/>
  <c r="AT251" i="24" s="1"/>
  <c r="BA251" i="24" s="1"/>
  <c r="AJ285" i="24"/>
  <c r="AT285" i="24" s="1"/>
  <c r="BA285" i="24" s="1"/>
  <c r="AJ301" i="24"/>
  <c r="AT301" i="24" s="1"/>
  <c r="BA301" i="24" s="1"/>
  <c r="AJ222" i="24"/>
  <c r="AT222" i="24" s="1"/>
  <c r="BA222" i="24" s="1"/>
  <c r="AJ273" i="24"/>
  <c r="AT273" i="24" s="1"/>
  <c r="BA273" i="24" s="1"/>
  <c r="AJ245" i="24"/>
  <c r="AT245" i="24" s="1"/>
  <c r="BA245" i="24" s="1"/>
  <c r="AF79" i="24"/>
  <c r="AF72" i="24"/>
  <c r="AF63" i="24"/>
  <c r="AF31" i="24"/>
  <c r="AF87" i="24"/>
  <c r="AJ294" i="24"/>
  <c r="AT294" i="24" s="1"/>
  <c r="BA294" i="24" s="1"/>
  <c r="AJ304" i="24"/>
  <c r="AT304" i="24" s="1"/>
  <c r="BA304" i="24" s="1"/>
  <c r="AJ303" i="24"/>
  <c r="AT303" i="24" s="1"/>
  <c r="BA303" i="24" s="1"/>
  <c r="AJ230" i="24"/>
  <c r="AT230" i="24" s="1"/>
  <c r="BA230" i="24" s="1"/>
  <c r="AJ315" i="24"/>
  <c r="AT315" i="24" s="1"/>
  <c r="BA315" i="24" s="1"/>
  <c r="Y247" i="24"/>
  <c r="Y300" i="24"/>
  <c r="Y274" i="24"/>
  <c r="AJ254" i="24"/>
  <c r="AT254" i="24" s="1"/>
  <c r="BA254" i="24" s="1"/>
  <c r="Y294" i="24"/>
  <c r="AJ236" i="24"/>
  <c r="AT236" i="24" s="1"/>
  <c r="BA236" i="24" s="1"/>
  <c r="AJ223" i="24"/>
  <c r="AT223" i="24" s="1"/>
  <c r="BA223" i="24" s="1"/>
  <c r="AJ240" i="24"/>
  <c r="AT240" i="24" s="1"/>
  <c r="BA240" i="24" s="1"/>
  <c r="AJ302" i="24"/>
  <c r="AT302" i="24" s="1"/>
  <c r="BA302" i="24" s="1"/>
  <c r="AJ233" i="24"/>
  <c r="AT233" i="24" s="1"/>
  <c r="BA233" i="24" s="1"/>
  <c r="AJ258" i="24"/>
  <c r="AT258" i="24" s="1"/>
  <c r="BA258" i="24" s="1"/>
  <c r="AJ309" i="24"/>
  <c r="AT309" i="24" s="1"/>
  <c r="BA309" i="24" s="1"/>
  <c r="AJ247" i="24"/>
  <c r="AT247" i="24" s="1"/>
  <c r="BA247" i="24" s="1"/>
  <c r="AJ314" i="24"/>
  <c r="AT314" i="24" s="1"/>
  <c r="BA314" i="24" s="1"/>
  <c r="AJ218" i="24"/>
  <c r="AT218" i="24" s="1"/>
  <c r="BA218" i="24" s="1"/>
  <c r="AJ216" i="24"/>
  <c r="AT216" i="24" s="1"/>
  <c r="BA216" i="24" s="1"/>
  <c r="AG230" i="24"/>
  <c r="AF230" i="24"/>
  <c r="AF234" i="24"/>
  <c r="AG234" i="24"/>
  <c r="AG314" i="24"/>
  <c r="AF314" i="24"/>
  <c r="AG219" i="24"/>
  <c r="AF219" i="24"/>
  <c r="AG241" i="24"/>
  <c r="AF241" i="24"/>
  <c r="AF248" i="24"/>
  <c r="AG293" i="24"/>
  <c r="AF293" i="24"/>
  <c r="AG223" i="24"/>
  <c r="AF223" i="24"/>
  <c r="Y302" i="24"/>
  <c r="AF272" i="24"/>
  <c r="AG272" i="24"/>
  <c r="AG300" i="24"/>
  <c r="AF300" i="24"/>
  <c r="AF235" i="24"/>
  <c r="AG235" i="24"/>
  <c r="AJ316" i="24"/>
  <c r="AT316" i="24" s="1"/>
  <c r="BA316" i="24" s="1"/>
  <c r="Y256" i="24"/>
  <c r="AG251" i="24"/>
  <c r="AF251" i="24"/>
  <c r="Y223" i="24"/>
  <c r="Y312" i="24"/>
  <c r="Y227" i="24"/>
  <c r="AG307" i="24"/>
  <c r="AF307" i="24"/>
  <c r="AG227" i="24"/>
  <c r="AF227" i="24"/>
  <c r="AF233" i="24"/>
  <c r="AG233" i="24"/>
  <c r="AJ275" i="24"/>
  <c r="AT275" i="24" s="1"/>
  <c r="BA275" i="24" s="1"/>
  <c r="AG258" i="24"/>
  <c r="AF258" i="24"/>
  <c r="AF280" i="24"/>
  <c r="AG256" i="24"/>
  <c r="AF256" i="24"/>
  <c r="AF277" i="24"/>
  <c r="AG271" i="24"/>
  <c r="AF271" i="24"/>
  <c r="AF315" i="24"/>
  <c r="AG315" i="24"/>
  <c r="AJ228" i="24"/>
  <c r="AT228" i="24" s="1"/>
  <c r="BA228" i="24" s="1"/>
  <c r="Y264" i="24"/>
  <c r="AG250" i="24"/>
  <c r="AF250" i="24"/>
  <c r="AF298" i="24"/>
  <c r="AG292" i="24"/>
  <c r="AF292" i="24"/>
  <c r="AF288" i="24"/>
  <c r="AG288" i="24"/>
  <c r="AF221" i="24"/>
  <c r="AG221" i="24"/>
  <c r="AJ286" i="24"/>
  <c r="AT286" i="24" s="1"/>
  <c r="BA286" i="24" s="1"/>
  <c r="AJ274" i="24"/>
  <c r="AT274" i="24" s="1"/>
  <c r="BA274" i="24" s="1"/>
  <c r="AF306" i="24"/>
  <c r="AG316" i="24"/>
  <c r="AF316" i="24"/>
  <c r="AJ266" i="24"/>
  <c r="AT266" i="24" s="1"/>
  <c r="BA266" i="24" s="1"/>
  <c r="AJ220" i="24"/>
  <c r="AT220" i="24" s="1"/>
  <c r="BA220" i="24" s="1"/>
  <c r="AG236" i="24"/>
  <c r="AF236" i="24"/>
  <c r="Y304" i="24"/>
  <c r="AJ243" i="24"/>
  <c r="AT243" i="24" s="1"/>
  <c r="BA243" i="24" s="1"/>
  <c r="AF282" i="24"/>
  <c r="AG240" i="24"/>
  <c r="AF240" i="24"/>
  <c r="AG294" i="24"/>
  <c r="AF294" i="24"/>
  <c r="AF239" i="24"/>
  <c r="AG239" i="24"/>
  <c r="AF304" i="24"/>
  <c r="AG304" i="24"/>
  <c r="AF218" i="24"/>
  <c r="AG218" i="24"/>
  <c r="AF268" i="24"/>
  <c r="AG268" i="24"/>
  <c r="AG287" i="24"/>
  <c r="AF287" i="24"/>
  <c r="AG285" i="24"/>
  <c r="AF285" i="24"/>
  <c r="AF261" i="24"/>
  <c r="AG264" i="24"/>
  <c r="AF264" i="24"/>
  <c r="AF259" i="24"/>
  <c r="AG259" i="24"/>
  <c r="AG245" i="24"/>
  <c r="AF245" i="24"/>
  <c r="Y218" i="24"/>
  <c r="AF283" i="24"/>
  <c r="Y316" i="24"/>
  <c r="AF276" i="24"/>
  <c r="AG279" i="24"/>
  <c r="AF279" i="24"/>
  <c r="AG301" i="24"/>
  <c r="AF301" i="24"/>
  <c r="AG297" i="24"/>
  <c r="AF297" i="24"/>
  <c r="AG310" i="24"/>
  <c r="AF310" i="24"/>
  <c r="AJ239" i="24"/>
  <c r="AT239" i="24" s="1"/>
  <c r="BA239" i="24" s="1"/>
  <c r="AF229" i="24"/>
  <c r="AG229" i="24"/>
  <c r="AG275" i="24"/>
  <c r="AF275" i="24"/>
  <c r="AG303" i="24"/>
  <c r="AF303" i="24"/>
  <c r="Y222" i="24"/>
  <c r="Y244" i="24"/>
  <c r="AG309" i="24"/>
  <c r="AF309" i="24"/>
  <c r="AF247" i="24"/>
  <c r="AG247" i="24"/>
  <c r="AJ234" i="24"/>
  <c r="AT234" i="24" s="1"/>
  <c r="BA234" i="24" s="1"/>
  <c r="AF228" i="24"/>
  <c r="AG228" i="24"/>
  <c r="Y235" i="24"/>
  <c r="AJ235" i="24"/>
  <c r="AT235" i="24" s="1"/>
  <c r="BA235" i="24" s="1"/>
  <c r="AG286" i="24"/>
  <c r="AF286" i="24"/>
  <c r="AJ219" i="24"/>
  <c r="AT219" i="24" s="1"/>
  <c r="BA219" i="24" s="1"/>
  <c r="AF254" i="24"/>
  <c r="AG254" i="24"/>
  <c r="AF274" i="24"/>
  <c r="AG274" i="24"/>
  <c r="AF262" i="24"/>
  <c r="AG266" i="24"/>
  <c r="AF266" i="24"/>
  <c r="AJ287" i="24"/>
  <c r="AT287" i="24" s="1"/>
  <c r="BA287" i="24" s="1"/>
  <c r="AG220" i="24"/>
  <c r="AF220" i="24"/>
  <c r="AG216" i="24"/>
  <c r="AF216" i="24"/>
  <c r="Y314" i="24"/>
  <c r="Y309" i="24"/>
  <c r="Y254" i="24"/>
  <c r="AF224" i="24"/>
  <c r="AG224" i="24"/>
  <c r="AJ279" i="24"/>
  <c r="AT279" i="24" s="1"/>
  <c r="BA279" i="24" s="1"/>
  <c r="AJ241" i="24"/>
  <c r="AT241" i="24" s="1"/>
  <c r="BA241" i="24" s="1"/>
  <c r="AJ293" i="24"/>
  <c r="AT293" i="24" s="1"/>
  <c r="BA293" i="24" s="1"/>
  <c r="AG243" i="24"/>
  <c r="AF243" i="24"/>
  <c r="AG222" i="24"/>
  <c r="AF222" i="24"/>
  <c r="AG273" i="24"/>
  <c r="AF273" i="24"/>
  <c r="AJ264" i="24"/>
  <c r="AT264" i="24" s="1"/>
  <c r="BA264" i="24" s="1"/>
  <c r="AJ259" i="24"/>
  <c r="AT259" i="24" s="1"/>
  <c r="BA259" i="24" s="1"/>
  <c r="Y245" i="24"/>
  <c r="Y279" i="24"/>
  <c r="AG302" i="24"/>
  <c r="AF302" i="24"/>
  <c r="AF270" i="24"/>
  <c r="AF41" i="24"/>
  <c r="AF59" i="24"/>
  <c r="AF89" i="24"/>
  <c r="AF54" i="24"/>
  <c r="AF68" i="24"/>
  <c r="AF51" i="24"/>
  <c r="AF46" i="24"/>
  <c r="AF92" i="24"/>
  <c r="AF19" i="24"/>
  <c r="AF82" i="24"/>
  <c r="AF18" i="24"/>
  <c r="AF28" i="24"/>
  <c r="AF40" i="24"/>
  <c r="Y5" i="24"/>
  <c r="Y33" i="24"/>
  <c r="Y96" i="24"/>
  <c r="Y21" i="24"/>
  <c r="AJ203" i="24" l="1"/>
  <c r="AT203" i="24" s="1"/>
  <c r="BA203" i="24" s="1"/>
  <c r="J212" i="24"/>
  <c r="W212" i="24" s="1"/>
  <c r="O212" i="24"/>
  <c r="V212" i="24"/>
  <c r="AS134" i="25"/>
  <c r="AX134" i="25" s="1"/>
  <c r="AS202" i="25"/>
  <c r="AW202" i="25" s="1"/>
  <c r="AS177" i="25"/>
  <c r="AX177" i="25" s="1"/>
  <c r="AS187" i="25"/>
  <c r="AX187" i="25" s="1"/>
  <c r="AS191" i="25"/>
  <c r="AW191" i="25" s="1"/>
  <c r="AS183" i="25"/>
  <c r="AX183" i="25" s="1"/>
  <c r="AS182" i="25"/>
  <c r="AX182" i="25" s="1"/>
  <c r="AS209" i="25"/>
  <c r="AX209" i="25" s="1"/>
  <c r="AS186" i="25"/>
  <c r="AX186" i="25" s="1"/>
  <c r="AS180" i="25"/>
  <c r="AX180" i="25" s="1"/>
  <c r="AS200" i="25"/>
  <c r="AX200" i="25" s="1"/>
  <c r="AS179" i="25"/>
  <c r="AW179" i="25" s="1"/>
  <c r="AS146" i="25"/>
  <c r="AW146" i="25" s="1"/>
  <c r="AS181" i="25"/>
  <c r="AW181" i="25" s="1"/>
  <c r="AS119" i="25"/>
  <c r="AX119" i="25" s="1"/>
  <c r="AS193" i="25"/>
  <c r="AX193" i="25" s="1"/>
  <c r="AS144" i="25"/>
  <c r="AX144" i="25" s="1"/>
  <c r="AS117" i="25"/>
  <c r="AX117" i="25" s="1"/>
  <c r="AS205" i="25"/>
  <c r="AW205" i="25" s="1"/>
  <c r="AS173" i="25"/>
  <c r="AX173" i="25" s="1"/>
  <c r="AS140" i="25"/>
  <c r="AX140" i="25" s="1"/>
  <c r="AS194" i="25"/>
  <c r="AX194" i="25" s="1"/>
  <c r="AS166" i="25"/>
  <c r="AW166" i="25" s="1"/>
  <c r="AS137" i="25"/>
  <c r="AX137" i="25" s="1"/>
  <c r="AS184" i="25"/>
  <c r="AW184" i="25" s="1"/>
  <c r="AS203" i="25"/>
  <c r="AX203" i="25" s="1"/>
  <c r="AS148" i="25"/>
  <c r="AW148" i="25" s="1"/>
  <c r="AS165" i="25"/>
  <c r="AX165" i="25" s="1"/>
  <c r="AS124" i="25"/>
  <c r="AX124" i="25" s="1"/>
  <c r="AS158" i="25"/>
  <c r="AX158" i="25" s="1"/>
  <c r="AS132" i="25"/>
  <c r="AX132" i="25" s="1"/>
  <c r="AS207" i="25"/>
  <c r="AW207" i="25" s="1"/>
  <c r="AS138" i="25"/>
  <c r="AX138" i="25" s="1"/>
  <c r="AS131" i="25"/>
  <c r="AW131" i="25" s="1"/>
  <c r="AS143" i="25"/>
  <c r="AX143" i="25" s="1"/>
  <c r="AS161" i="25"/>
  <c r="AX161" i="25" s="1"/>
  <c r="AS152" i="25"/>
  <c r="AX152" i="25" s="1"/>
  <c r="AS149" i="25"/>
  <c r="AX149" i="25" s="1"/>
  <c r="AS141" i="25"/>
  <c r="AX141" i="25" s="1"/>
  <c r="AS123" i="25"/>
  <c r="AW123" i="25" s="1"/>
  <c r="AS118" i="25"/>
  <c r="AX118" i="25" s="1"/>
  <c r="AS125" i="25"/>
  <c r="AX125" i="25" s="1"/>
  <c r="AS129" i="25"/>
  <c r="AW129" i="25" s="1"/>
  <c r="AS128" i="25"/>
  <c r="AX128" i="25" s="1"/>
  <c r="AS127" i="25"/>
  <c r="AX127" i="25" s="1"/>
  <c r="AS198" i="25"/>
  <c r="AW198" i="25" s="1"/>
  <c r="AS157" i="25"/>
  <c r="AX157" i="25" s="1"/>
  <c r="AS170" i="25"/>
  <c r="AX170" i="25" s="1"/>
  <c r="AS169" i="25"/>
  <c r="AW169" i="25" s="1"/>
  <c r="AS189" i="25"/>
  <c r="AX189" i="25" s="1"/>
  <c r="AS126" i="25"/>
  <c r="AX126" i="25" s="1"/>
  <c r="AS156" i="25"/>
  <c r="AW156" i="25" s="1"/>
  <c r="AS133" i="25"/>
  <c r="AX133" i="25" s="1"/>
  <c r="AS176" i="25"/>
  <c r="AX176" i="25" s="1"/>
  <c r="AS190" i="25"/>
  <c r="AW190" i="25" s="1"/>
  <c r="AS195" i="25"/>
  <c r="AX195" i="25" s="1"/>
  <c r="AS160" i="25"/>
  <c r="AX160" i="25" s="1"/>
  <c r="AS197" i="25"/>
  <c r="AX197" i="25" s="1"/>
  <c r="AS171" i="25"/>
  <c r="AX171" i="25" s="1"/>
  <c r="AS164" i="25"/>
  <c r="AW164" i="25" s="1"/>
  <c r="AS150" i="25"/>
  <c r="AX150" i="25" s="1"/>
  <c r="AS153" i="25"/>
  <c r="AW153" i="25" s="1"/>
  <c r="AS178" i="25"/>
  <c r="AW178" i="25" s="1"/>
  <c r="AS167" i="25"/>
  <c r="AX167" i="25" s="1"/>
  <c r="AS113" i="25"/>
  <c r="AX113" i="25" s="1"/>
  <c r="AS154" i="25"/>
  <c r="AX154" i="25" s="1"/>
  <c r="AS142" i="25"/>
  <c r="AX142" i="25" s="1"/>
  <c r="AS168" i="25"/>
  <c r="AW168" i="25" s="1"/>
  <c r="AS201" i="25"/>
  <c r="AW201" i="25" s="1"/>
  <c r="AS114" i="25"/>
  <c r="AX114" i="25" s="1"/>
  <c r="AS175" i="25"/>
  <c r="AX175" i="25" s="1"/>
  <c r="AS206" i="25"/>
  <c r="AW206" i="25" s="1"/>
  <c r="AS145" i="25"/>
  <c r="AX145" i="25" s="1"/>
  <c r="AS192" i="25"/>
  <c r="AX192" i="25" s="1"/>
  <c r="AS159" i="25"/>
  <c r="AX159" i="25" s="1"/>
  <c r="AS204" i="25"/>
  <c r="AX204" i="25" s="1"/>
  <c r="AS111" i="25"/>
  <c r="AX111" i="25" s="1"/>
  <c r="AS151" i="25"/>
  <c r="AX151" i="25" s="1"/>
  <c r="AS185" i="25"/>
  <c r="AW185" i="25" s="1"/>
  <c r="AS120" i="25"/>
  <c r="AW120" i="25" s="1"/>
  <c r="AS188" i="25"/>
  <c r="AX188" i="25" s="1"/>
  <c r="AS121" i="25"/>
  <c r="AW121" i="25" s="1"/>
  <c r="AS162" i="25"/>
  <c r="AX162" i="25" s="1"/>
  <c r="AS115" i="25"/>
  <c r="AX115" i="25" s="1"/>
  <c r="AS135" i="25"/>
  <c r="AW135" i="25" s="1"/>
  <c r="AS172" i="25"/>
  <c r="AX172" i="25" s="1"/>
  <c r="AS196" i="25"/>
  <c r="AX196" i="25" s="1"/>
  <c r="AS199" i="25"/>
  <c r="AX199" i="25" s="1"/>
  <c r="AS147" i="25"/>
  <c r="AX147" i="25" s="1"/>
  <c r="AS174" i="25"/>
  <c r="AX174" i="25" s="1"/>
  <c r="AS163" i="25"/>
  <c r="AW163" i="25" s="1"/>
  <c r="AS130" i="25"/>
  <c r="AX130" i="25" s="1"/>
  <c r="AS136" i="25"/>
  <c r="AX136" i="25" s="1"/>
  <c r="AS208" i="25"/>
  <c r="AW208" i="25" s="1"/>
  <c r="AS155" i="25"/>
  <c r="AX155" i="25" s="1"/>
  <c r="AS210" i="25"/>
  <c r="AX210" i="25" s="1"/>
  <c r="AS116" i="25"/>
  <c r="AX116" i="25" s="1"/>
  <c r="AS112" i="25"/>
  <c r="AW112" i="25" s="1"/>
  <c r="AS139" i="25"/>
  <c r="AX139" i="25" s="1"/>
  <c r="AS122" i="25"/>
  <c r="AX122" i="25" s="1"/>
  <c r="AS110" i="25"/>
  <c r="AX110" i="25" s="1"/>
  <c r="AT141" i="24"/>
  <c r="BA141" i="24" s="1"/>
  <c r="AT145" i="24"/>
  <c r="BA145" i="24" s="1"/>
  <c r="AT205" i="24"/>
  <c r="BA205" i="24" s="1"/>
  <c r="AT194" i="24"/>
  <c r="BA194" i="24" s="1"/>
  <c r="AT125" i="24"/>
  <c r="BA125" i="24" s="1"/>
  <c r="AT131" i="24"/>
  <c r="BA131" i="24" s="1"/>
  <c r="AT150" i="24"/>
  <c r="BA150" i="24" s="1"/>
  <c r="AT188" i="24"/>
  <c r="BA188" i="24" s="1"/>
  <c r="AT170" i="24"/>
  <c r="BA170" i="24" s="1"/>
  <c r="AT162" i="24"/>
  <c r="BA162" i="24" s="1"/>
  <c r="AT113" i="24"/>
  <c r="BA113" i="24" s="1"/>
  <c r="AT143" i="24"/>
  <c r="BA143" i="24" s="1"/>
  <c r="AT127" i="24"/>
  <c r="BA127" i="24" s="1"/>
  <c r="AT110" i="24"/>
  <c r="BA110" i="24" s="1"/>
  <c r="AT184" i="24"/>
  <c r="BA184" i="24" s="1"/>
  <c r="AT154" i="24"/>
  <c r="BA154" i="24" s="1"/>
  <c r="AT119" i="24"/>
  <c r="BA119" i="24" s="1"/>
  <c r="AT167" i="24"/>
  <c r="BA167" i="24" s="1"/>
  <c r="AT152" i="24"/>
  <c r="BA152" i="24" s="1"/>
  <c r="AT128" i="24"/>
  <c r="BA128" i="24" s="1"/>
  <c r="AT186" i="24"/>
  <c r="BA186" i="24" s="1"/>
  <c r="AT179" i="24"/>
  <c r="BA179" i="24" s="1"/>
  <c r="AT163" i="24"/>
  <c r="BA163" i="24" s="1"/>
  <c r="AT161" i="24"/>
  <c r="BA161" i="24" s="1"/>
  <c r="AT209" i="24"/>
  <c r="BA209" i="24" s="1"/>
  <c r="AT133" i="24"/>
  <c r="BA133" i="24" s="1"/>
  <c r="AT139" i="24"/>
  <c r="BA139" i="24" s="1"/>
  <c r="AT168" i="24"/>
  <c r="BA168" i="24" s="1"/>
  <c r="AT176" i="24"/>
  <c r="BA176" i="24" s="1"/>
  <c r="AT198" i="24"/>
  <c r="BA198" i="24" s="1"/>
  <c r="AT130" i="24"/>
  <c r="BA130" i="24" s="1"/>
  <c r="AT191" i="24"/>
  <c r="BA191" i="24" s="1"/>
  <c r="AT193" i="24"/>
  <c r="BA193" i="24" s="1"/>
  <c r="AT190" i="24"/>
  <c r="BA190" i="24" s="1"/>
  <c r="AT197" i="24"/>
  <c r="BA197" i="24" s="1"/>
  <c r="AT137" i="24"/>
  <c r="BA137" i="24" s="1"/>
  <c r="AT159" i="24"/>
  <c r="BA159" i="24" s="1"/>
  <c r="AT142" i="24"/>
  <c r="BA142" i="24" s="1"/>
  <c r="AT183" i="24"/>
  <c r="BA183" i="24" s="1"/>
  <c r="AT177" i="24"/>
  <c r="BA177" i="24" s="1"/>
  <c r="AT165" i="24"/>
  <c r="BA165" i="24" s="1"/>
  <c r="AT192" i="24"/>
  <c r="BA192" i="24" s="1"/>
  <c r="AT196" i="24"/>
  <c r="BA196" i="24" s="1"/>
  <c r="AT189" i="24"/>
  <c r="BA189" i="24" s="1"/>
  <c r="AT144" i="24"/>
  <c r="BA144" i="24" s="1"/>
  <c r="AT151" i="24"/>
  <c r="BA151" i="24" s="1"/>
  <c r="AT146" i="24"/>
  <c r="BA146" i="24" s="1"/>
  <c r="AT166" i="24"/>
  <c r="BA166" i="24" s="1"/>
  <c r="AT185" i="24"/>
  <c r="BA185" i="24" s="1"/>
  <c r="AT111" i="24"/>
  <c r="BA111" i="24" s="1"/>
  <c r="AT199" i="24"/>
  <c r="BA199" i="24" s="1"/>
  <c r="AT156" i="24"/>
  <c r="BA156" i="24" s="1"/>
  <c r="AT204" i="24"/>
  <c r="BA204" i="24" s="1"/>
  <c r="AT114" i="24"/>
  <c r="BA114" i="24" s="1"/>
  <c r="AT120" i="24"/>
  <c r="BA120" i="24" s="1"/>
  <c r="AT158" i="24"/>
  <c r="BA158" i="24" s="1"/>
  <c r="AT121" i="24"/>
  <c r="BA121" i="24" s="1"/>
  <c r="AT182" i="24"/>
  <c r="BA182" i="24" s="1"/>
  <c r="AT149" i="24"/>
  <c r="BA149" i="24" s="1"/>
  <c r="AT134" i="24"/>
  <c r="BA134" i="24" s="1"/>
  <c r="AT206" i="24"/>
  <c r="BA206" i="24" s="1"/>
  <c r="AT174" i="24"/>
  <c r="BA174" i="24" s="1"/>
  <c r="AT117" i="24"/>
  <c r="BA117" i="24" s="1"/>
  <c r="AT147" i="24"/>
  <c r="BA147" i="24" s="1"/>
  <c r="AT171" i="24"/>
  <c r="BA171" i="24" s="1"/>
  <c r="AT132" i="24"/>
  <c r="BA132" i="24" s="1"/>
  <c r="AV23" i="24"/>
  <c r="AV73" i="24"/>
  <c r="AV104" i="24"/>
  <c r="AV105" i="24"/>
  <c r="AV100" i="24"/>
  <c r="AV53" i="24"/>
  <c r="AV36" i="24"/>
  <c r="AV5" i="24"/>
  <c r="BV5" i="24"/>
  <c r="AV27" i="24"/>
  <c r="AV87" i="24"/>
  <c r="AV95" i="24"/>
  <c r="AV69" i="24"/>
  <c r="AV70" i="24"/>
  <c r="AV42" i="24"/>
  <c r="AV60" i="24"/>
  <c r="AV50" i="24"/>
  <c r="AV78" i="24"/>
  <c r="AV32" i="24"/>
  <c r="AV14" i="24"/>
  <c r="AV83" i="24"/>
  <c r="AV10" i="24"/>
  <c r="AV25" i="24"/>
  <c r="AJ55" i="24"/>
  <c r="AT55" i="24" s="1"/>
  <c r="BA55" i="24" s="1"/>
  <c r="AG289" i="24"/>
  <c r="AG152" i="24"/>
  <c r="AG70" i="24"/>
  <c r="AJ277" i="24"/>
  <c r="AT277" i="24" s="1"/>
  <c r="BA277" i="24" s="1"/>
  <c r="AG277" i="24"/>
  <c r="AN277" i="24" s="1"/>
  <c r="CD277" i="24" s="1"/>
  <c r="AF253" i="24"/>
  <c r="AN253" i="24" s="1"/>
  <c r="AF305" i="24"/>
  <c r="AK305" i="24" s="1"/>
  <c r="AG190" i="24"/>
  <c r="AN190" i="24" s="1"/>
  <c r="AJ207" i="24"/>
  <c r="AG280" i="24"/>
  <c r="AN280" i="24" s="1"/>
  <c r="AJ260" i="24"/>
  <c r="AT260" i="24" s="1"/>
  <c r="BA260" i="24" s="1"/>
  <c r="AJ280" i="24"/>
  <c r="AT280" i="24" s="1"/>
  <c r="BA280" i="24" s="1"/>
  <c r="AG260" i="24"/>
  <c r="AJ195" i="24"/>
  <c r="AJ244" i="24"/>
  <c r="AT244" i="24" s="1"/>
  <c r="BA244" i="24" s="1"/>
  <c r="AG283" i="24"/>
  <c r="AN283" i="24" s="1"/>
  <c r="CD283" i="24" s="1"/>
  <c r="AJ248" i="24"/>
  <c r="AT248" i="24" s="1"/>
  <c r="BA248" i="24" s="1"/>
  <c r="AJ153" i="24"/>
  <c r="AG262" i="24"/>
  <c r="AG248" i="24"/>
  <c r="AN248" i="24" s="1"/>
  <c r="CD248" i="24" s="1"/>
  <c r="AG191" i="24"/>
  <c r="AJ289" i="24"/>
  <c r="AT289" i="24" s="1"/>
  <c r="BA289" i="24" s="1"/>
  <c r="AJ262" i="24"/>
  <c r="AT262" i="24" s="1"/>
  <c r="BA262" i="24" s="1"/>
  <c r="AG270" i="24"/>
  <c r="AN270" i="24" s="1"/>
  <c r="CD270" i="24" s="1"/>
  <c r="AF281" i="24"/>
  <c r="AN281" i="24" s="1"/>
  <c r="AG193" i="24"/>
  <c r="AG255" i="24"/>
  <c r="AK255" i="24" s="1"/>
  <c r="AF193" i="24"/>
  <c r="AJ79" i="24"/>
  <c r="AJ201" i="24"/>
  <c r="AJ172" i="24"/>
  <c r="AJ261" i="24"/>
  <c r="AT261" i="24" s="1"/>
  <c r="BA261" i="24" s="1"/>
  <c r="AJ187" i="24"/>
  <c r="AJ298" i="24"/>
  <c r="AT298" i="24" s="1"/>
  <c r="BA298" i="24" s="1"/>
  <c r="AG217" i="24"/>
  <c r="AK217" i="24" s="1"/>
  <c r="AJ96" i="24"/>
  <c r="AG244" i="24"/>
  <c r="AN244" i="24" s="1"/>
  <c r="CD244" i="24" s="1"/>
  <c r="AJ157" i="24"/>
  <c r="AJ283" i="24"/>
  <c r="AT283" i="24" s="1"/>
  <c r="BA283" i="24" s="1"/>
  <c r="AJ208" i="24"/>
  <c r="AJ210" i="24"/>
  <c r="AG312" i="24"/>
  <c r="AG132" i="24"/>
  <c r="AV101" i="24"/>
  <c r="AT101" i="24"/>
  <c r="BA101" i="24" s="1"/>
  <c r="AV91" i="24"/>
  <c r="AT91" i="24"/>
  <c r="BA91" i="24" s="1"/>
  <c r="AJ181" i="24"/>
  <c r="AJ92" i="24"/>
  <c r="AF289" i="24"/>
  <c r="AG171" i="24"/>
  <c r="AN171" i="24" s="1"/>
  <c r="AX171" i="24" s="1"/>
  <c r="AG311" i="24"/>
  <c r="AK311" i="24" s="1"/>
  <c r="AG226" i="24"/>
  <c r="AK226" i="24" s="1"/>
  <c r="AJ97" i="24"/>
  <c r="AJ312" i="24"/>
  <c r="AT312" i="24" s="1"/>
  <c r="BA312" i="24" s="1"/>
  <c r="AJ169" i="24"/>
  <c r="AG147" i="24"/>
  <c r="AJ257" i="24"/>
  <c r="AT257" i="24" s="1"/>
  <c r="BA257" i="24" s="1"/>
  <c r="AF147" i="24"/>
  <c r="AF132" i="24"/>
  <c r="AJ155" i="24"/>
  <c r="AG242" i="24"/>
  <c r="AG130" i="24"/>
  <c r="AK130" i="24" s="1"/>
  <c r="AJ270" i="24"/>
  <c r="AT270" i="24" s="1"/>
  <c r="BA270" i="24" s="1"/>
  <c r="AJ282" i="24"/>
  <c r="AT282" i="24" s="1"/>
  <c r="BA282" i="24" s="1"/>
  <c r="AG158" i="24"/>
  <c r="AN158" i="24" s="1"/>
  <c r="AG153" i="24"/>
  <c r="AN153" i="24" s="1"/>
  <c r="AG282" i="24"/>
  <c r="AN282" i="24" s="1"/>
  <c r="CD282" i="24" s="1"/>
  <c r="AG269" i="24"/>
  <c r="AG265" i="24"/>
  <c r="AK265" i="24" s="1"/>
  <c r="AG146" i="24"/>
  <c r="AK146" i="24" s="1"/>
  <c r="AF260" i="24"/>
  <c r="AG257" i="24"/>
  <c r="AN257" i="24" s="1"/>
  <c r="AG267" i="24"/>
  <c r="AN267" i="24" s="1"/>
  <c r="AG176" i="24"/>
  <c r="AK176" i="24" s="1"/>
  <c r="AG290" i="24"/>
  <c r="AN290" i="24" s="1"/>
  <c r="CD290" i="24" s="1"/>
  <c r="AG291" i="24"/>
  <c r="AK291" i="24" s="1"/>
  <c r="AG261" i="24"/>
  <c r="AN261" i="24" s="1"/>
  <c r="CD261" i="24" s="1"/>
  <c r="AG198" i="24"/>
  <c r="AK198" i="24" s="1"/>
  <c r="AG114" i="24"/>
  <c r="AF191" i="24"/>
  <c r="AG166" i="24"/>
  <c r="AG117" i="24"/>
  <c r="AK117" i="24" s="1"/>
  <c r="AF237" i="24"/>
  <c r="AK237" i="24" s="1"/>
  <c r="AG195" i="24"/>
  <c r="AF278" i="24"/>
  <c r="AK278" i="24" s="1"/>
  <c r="AG308" i="24"/>
  <c r="AK308" i="24" s="1"/>
  <c r="AF114" i="24"/>
  <c r="AG232" i="24"/>
  <c r="AK232" i="24" s="1"/>
  <c r="AG122" i="24"/>
  <c r="AG299" i="24"/>
  <c r="AN299" i="24" s="1"/>
  <c r="AG298" i="24"/>
  <c r="AN298" i="24" s="1"/>
  <c r="CD298" i="24" s="1"/>
  <c r="AG231" i="24"/>
  <c r="AK231" i="24" s="1"/>
  <c r="AG185" i="24"/>
  <c r="AN185" i="24" s="1"/>
  <c r="BV185" i="24" s="1"/>
  <c r="AV85" i="24"/>
  <c r="AT85" i="24"/>
  <c r="BA85" i="24" s="1"/>
  <c r="AV86" i="24"/>
  <c r="AT86" i="24"/>
  <c r="BA86" i="24" s="1"/>
  <c r="AV74" i="24"/>
  <c r="AT74" i="24"/>
  <c r="BA74" i="24" s="1"/>
  <c r="AJ89" i="24"/>
  <c r="AF249" i="24"/>
  <c r="AN249" i="24" s="1"/>
  <c r="CD249" i="24" s="1"/>
  <c r="AG120" i="24"/>
  <c r="AN120" i="24" s="1"/>
  <c r="AX120" i="24" s="1"/>
  <c r="AG133" i="24"/>
  <c r="AK133" i="24" s="1"/>
  <c r="AT83" i="24"/>
  <c r="BA83" i="24" s="1"/>
  <c r="AG151" i="24"/>
  <c r="AN151" i="24" s="1"/>
  <c r="BH151" i="24" s="1"/>
  <c r="AG143" i="24"/>
  <c r="AN143" i="24" s="1"/>
  <c r="BV143" i="24" s="1"/>
  <c r="AT73" i="24"/>
  <c r="BA73" i="24" s="1"/>
  <c r="AJ63" i="24"/>
  <c r="AJ82" i="24"/>
  <c r="AJ72" i="24"/>
  <c r="AJ148" i="24"/>
  <c r="AJ46" i="24"/>
  <c r="AG168" i="24"/>
  <c r="AG174" i="24"/>
  <c r="AG189" i="24"/>
  <c r="AG139" i="24"/>
  <c r="AN139" i="24" s="1"/>
  <c r="BT139" i="24" s="1"/>
  <c r="AJ68" i="24"/>
  <c r="AG225" i="24"/>
  <c r="AG150" i="24"/>
  <c r="AK150" i="24" s="1"/>
  <c r="AG156" i="24"/>
  <c r="AK156" i="24" s="1"/>
  <c r="AG204" i="24"/>
  <c r="AK204" i="24" s="1"/>
  <c r="AF238" i="24"/>
  <c r="AK238" i="24" s="1"/>
  <c r="AF225" i="24"/>
  <c r="AF166" i="24"/>
  <c r="AG263" i="24"/>
  <c r="AF263" i="24"/>
  <c r="AG144" i="24"/>
  <c r="AN144" i="24" s="1"/>
  <c r="AX144" i="24" s="1"/>
  <c r="AG252" i="24"/>
  <c r="AN252" i="24" s="1"/>
  <c r="CD252" i="24" s="1"/>
  <c r="AF189" i="24"/>
  <c r="AJ306" i="24"/>
  <c r="AT306" i="24" s="1"/>
  <c r="BA306" i="24" s="1"/>
  <c r="AF168" i="24"/>
  <c r="AJ276" i="24"/>
  <c r="AT276" i="24" s="1"/>
  <c r="BA276" i="24" s="1"/>
  <c r="AJ54" i="24"/>
  <c r="AV56" i="24"/>
  <c r="AT56" i="24"/>
  <c r="BA56" i="24" s="1"/>
  <c r="AG276" i="24"/>
  <c r="AN276" i="24" s="1"/>
  <c r="AJ59" i="24"/>
  <c r="AJ51" i="24"/>
  <c r="AJ136" i="24"/>
  <c r="AJ64" i="24"/>
  <c r="AJ225" i="24"/>
  <c r="AT225" i="24" s="1"/>
  <c r="BA225" i="24" s="1"/>
  <c r="AF313" i="24"/>
  <c r="AN313" i="24" s="1"/>
  <c r="CD313" i="24" s="1"/>
  <c r="AF246" i="24"/>
  <c r="AN246" i="24" s="1"/>
  <c r="CD246" i="24" s="1"/>
  <c r="AF295" i="24"/>
  <c r="AK295" i="24" s="1"/>
  <c r="AF174" i="24"/>
  <c r="AG296" i="24"/>
  <c r="AK296" i="24" s="1"/>
  <c r="AG25" i="24"/>
  <c r="AG89" i="24"/>
  <c r="AN89" i="24" s="1"/>
  <c r="CD89" i="24" s="1"/>
  <c r="AG284" i="24"/>
  <c r="AK284" i="24" s="1"/>
  <c r="AG209" i="24"/>
  <c r="AK209" i="24" s="1"/>
  <c r="AF242" i="24"/>
  <c r="AF269" i="24"/>
  <c r="AJ40" i="24"/>
  <c r="AG306" i="24"/>
  <c r="AG113" i="24"/>
  <c r="AN113" i="24" s="1"/>
  <c r="AJ41" i="24"/>
  <c r="AG179" i="24"/>
  <c r="AN179" i="24" s="1"/>
  <c r="BT179" i="24" s="1"/>
  <c r="AF78" i="24"/>
  <c r="AK78" i="24" s="1"/>
  <c r="AG157" i="24"/>
  <c r="AG101" i="24"/>
  <c r="AK101" i="24" s="1"/>
  <c r="AF128" i="24"/>
  <c r="AK128" i="24" s="1"/>
  <c r="AG112" i="24"/>
  <c r="AG181" i="24"/>
  <c r="AJ112" i="24"/>
  <c r="AG10" i="24"/>
  <c r="AK10" i="24" s="1"/>
  <c r="AG92" i="24"/>
  <c r="AN92" i="24" s="1"/>
  <c r="AG208" i="24"/>
  <c r="AK208" i="24" s="1"/>
  <c r="AG196" i="24"/>
  <c r="AF183" i="24"/>
  <c r="AN183" i="24" s="1"/>
  <c r="AX183" i="24" s="1"/>
  <c r="AF137" i="24"/>
  <c r="AN137" i="24" s="1"/>
  <c r="AF196" i="24"/>
  <c r="AG162" i="24"/>
  <c r="AG46" i="24"/>
  <c r="AN46" i="24" s="1"/>
  <c r="AF25" i="24"/>
  <c r="AG186" i="24"/>
  <c r="AK186" i="24" s="1"/>
  <c r="AF142" i="24"/>
  <c r="AN142" i="24" s="1"/>
  <c r="BT142" i="24" s="1"/>
  <c r="AG141" i="24"/>
  <c r="AK141" i="24" s="1"/>
  <c r="AT100" i="24"/>
  <c r="BA100" i="24" s="1"/>
  <c r="AG148" i="24"/>
  <c r="AN148" i="24" s="1"/>
  <c r="CD148" i="24" s="1"/>
  <c r="AG96" i="24"/>
  <c r="AN96" i="24" s="1"/>
  <c r="AG206" i="24"/>
  <c r="AK206" i="24" s="1"/>
  <c r="AG177" i="24"/>
  <c r="AN177" i="24" s="1"/>
  <c r="AG85" i="24"/>
  <c r="AN85" i="24" s="1"/>
  <c r="BV85" i="24" s="1"/>
  <c r="AG51" i="24"/>
  <c r="AG95" i="24"/>
  <c r="AK95" i="24" s="1"/>
  <c r="AG203" i="24"/>
  <c r="AT96" i="24"/>
  <c r="BA96" i="24" s="1"/>
  <c r="AG14" i="24"/>
  <c r="AK14" i="24" s="1"/>
  <c r="AG119" i="24"/>
  <c r="AK119" i="24" s="1"/>
  <c r="AJ122" i="24"/>
  <c r="AJ18" i="24"/>
  <c r="AG167" i="24"/>
  <c r="AG18" i="24"/>
  <c r="AN18" i="24" s="1"/>
  <c r="BI18" i="24" s="1"/>
  <c r="AG54" i="24"/>
  <c r="AN54" i="24" s="1"/>
  <c r="CD54" i="24" s="1"/>
  <c r="AF170" i="24"/>
  <c r="AK170" i="24" s="1"/>
  <c r="AT105" i="24"/>
  <c r="BA105" i="24" s="1"/>
  <c r="AG23" i="24"/>
  <c r="AG159" i="24"/>
  <c r="AG105" i="24"/>
  <c r="AK105" i="24" s="1"/>
  <c r="AG145" i="24"/>
  <c r="AN145" i="24" s="1"/>
  <c r="BT145" i="24" s="1"/>
  <c r="AG36" i="24"/>
  <c r="AN36" i="24" s="1"/>
  <c r="BV36" i="24" s="1"/>
  <c r="AF122" i="24"/>
  <c r="AF112" i="24"/>
  <c r="AG184" i="24"/>
  <c r="AK184" i="24" s="1"/>
  <c r="AG187" i="24"/>
  <c r="AN187" i="24" s="1"/>
  <c r="AJ21" i="24"/>
  <c r="AJ31" i="24"/>
  <c r="AG199" i="24"/>
  <c r="AK199" i="24" s="1"/>
  <c r="AI13" i="24"/>
  <c r="AJ13" i="24" s="1"/>
  <c r="AG100" i="24"/>
  <c r="AN100" i="24" s="1"/>
  <c r="AF56" i="24"/>
  <c r="AN56" i="24" s="1"/>
  <c r="AX56" i="24" s="1"/>
  <c r="AG27" i="24"/>
  <c r="AK27" i="24" s="1"/>
  <c r="AG125" i="24"/>
  <c r="AN125" i="24" s="1"/>
  <c r="BH125" i="24" s="1"/>
  <c r="AG192" i="24"/>
  <c r="AK192" i="24" s="1"/>
  <c r="AF159" i="24"/>
  <c r="AG205" i="24"/>
  <c r="AK205" i="24" s="1"/>
  <c r="AF167" i="24"/>
  <c r="AT87" i="24"/>
  <c r="BA87" i="24" s="1"/>
  <c r="AF23" i="24"/>
  <c r="AF83" i="24"/>
  <c r="AN83" i="24" s="1"/>
  <c r="AX83" i="24" s="1"/>
  <c r="AG41" i="24"/>
  <c r="AF152" i="24"/>
  <c r="AG161" i="24"/>
  <c r="AK161" i="24" s="1"/>
  <c r="AG136" i="24"/>
  <c r="AJ19" i="24"/>
  <c r="AJ123" i="24"/>
  <c r="AF73" i="24"/>
  <c r="AK73" i="24" s="1"/>
  <c r="AG207" i="24"/>
  <c r="AG210" i="24"/>
  <c r="AG134" i="24"/>
  <c r="AK134" i="24" s="1"/>
  <c r="AG188" i="24"/>
  <c r="AK188" i="24" s="1"/>
  <c r="AG163" i="24"/>
  <c r="AK163" i="24" s="1"/>
  <c r="AT60" i="24"/>
  <c r="BA60" i="24" s="1"/>
  <c r="AJ29" i="24"/>
  <c r="AG149" i="24"/>
  <c r="AK149" i="24" s="1"/>
  <c r="AG87" i="24"/>
  <c r="AK87" i="24" s="1"/>
  <c r="AF182" i="24"/>
  <c r="AK182" i="24" s="1"/>
  <c r="AF165" i="24"/>
  <c r="AK165" i="24" s="1"/>
  <c r="AF162" i="24"/>
  <c r="AG50" i="24"/>
  <c r="AK50" i="24" s="1"/>
  <c r="AG60" i="24"/>
  <c r="AK60" i="24" s="1"/>
  <c r="AG28" i="24"/>
  <c r="AN28" i="24" s="1"/>
  <c r="AG72" i="24"/>
  <c r="AN72" i="24" s="1"/>
  <c r="AG172" i="24"/>
  <c r="X35" i="24"/>
  <c r="AA35" i="24" s="1"/>
  <c r="AB35" i="24" s="1"/>
  <c r="AC35" i="24" s="1"/>
  <c r="AJ35" i="24" s="1"/>
  <c r="AJ28" i="24"/>
  <c r="AG42" i="24"/>
  <c r="AN42" i="24" s="1"/>
  <c r="BV42" i="24" s="1"/>
  <c r="AJ115" i="24"/>
  <c r="AG55" i="24"/>
  <c r="AJ116" i="24"/>
  <c r="X71" i="24"/>
  <c r="AA71" i="24" s="1"/>
  <c r="AB71" i="24" s="1"/>
  <c r="AC71" i="24" s="1"/>
  <c r="W11" i="24"/>
  <c r="Y11" i="24" s="1"/>
  <c r="AI43" i="24"/>
  <c r="AJ43" i="24" s="1"/>
  <c r="AG31" i="24"/>
  <c r="AN31" i="24" s="1"/>
  <c r="AG115" i="24"/>
  <c r="AG64" i="24"/>
  <c r="B126" i="2"/>
  <c r="AG97" i="24"/>
  <c r="AJ33" i="24"/>
  <c r="AG40" i="24"/>
  <c r="AN40" i="24" s="1"/>
  <c r="AG116" i="24"/>
  <c r="AN116" i="24" s="1"/>
  <c r="AG201" i="24"/>
  <c r="AN201" i="24" s="1"/>
  <c r="AG169" i="24"/>
  <c r="AG131" i="24"/>
  <c r="AK131" i="24" s="1"/>
  <c r="AG194" i="24"/>
  <c r="AK194" i="24" s="1"/>
  <c r="AG155" i="24"/>
  <c r="AE65" i="24"/>
  <c r="AF65" i="24" s="1"/>
  <c r="AG82" i="24"/>
  <c r="AN82" i="24" s="1"/>
  <c r="CD82" i="24" s="1"/>
  <c r="AG63" i="24"/>
  <c r="AN63" i="24" s="1"/>
  <c r="CD63" i="24" s="1"/>
  <c r="AF74" i="24"/>
  <c r="AN74" i="24" s="1"/>
  <c r="CD74" i="24" s="1"/>
  <c r="AG21" i="24"/>
  <c r="AN21" i="24" s="1"/>
  <c r="AF55" i="24"/>
  <c r="AG19" i="24"/>
  <c r="AN19" i="24" s="1"/>
  <c r="AG91" i="24"/>
  <c r="AK91" i="24" s="1"/>
  <c r="AG79" i="24"/>
  <c r="AN79" i="24" s="1"/>
  <c r="CD79" i="24" s="1"/>
  <c r="AF154" i="24"/>
  <c r="AN154" i="24" s="1"/>
  <c r="BH154" i="24" s="1"/>
  <c r="AG123" i="24"/>
  <c r="W99" i="24"/>
  <c r="Y99" i="24" s="1"/>
  <c r="AG33" i="24"/>
  <c r="AT42" i="24"/>
  <c r="BA42" i="24" s="1"/>
  <c r="AE22" i="24"/>
  <c r="AF22" i="24" s="1"/>
  <c r="AI8" i="24"/>
  <c r="AJ8" i="24" s="1"/>
  <c r="AF33" i="24"/>
  <c r="AE26" i="24"/>
  <c r="AF26" i="24" s="1"/>
  <c r="AG104" i="24"/>
  <c r="AN104" i="24" s="1"/>
  <c r="BV104" i="24" s="1"/>
  <c r="AG32" i="24"/>
  <c r="AN32" i="24" s="1"/>
  <c r="AX32" i="24" s="1"/>
  <c r="AG68" i="24"/>
  <c r="AN68" i="24" s="1"/>
  <c r="CD68" i="24" s="1"/>
  <c r="AG86" i="24"/>
  <c r="AK86" i="24" s="1"/>
  <c r="AG59" i="24"/>
  <c r="AN59" i="24" s="1"/>
  <c r="CD59" i="24" s="1"/>
  <c r="W88" i="24"/>
  <c r="Y88" i="24" s="1"/>
  <c r="AG29" i="24"/>
  <c r="AN29" i="24" s="1"/>
  <c r="CD29" i="24" s="1"/>
  <c r="AE43" i="24"/>
  <c r="AG43" i="24" s="1"/>
  <c r="AF70" i="24"/>
  <c r="AT70" i="24"/>
  <c r="BA70" i="24" s="1"/>
  <c r="AT69" i="24"/>
  <c r="BA69" i="24" s="1"/>
  <c r="AE13" i="24"/>
  <c r="AF13" i="24" s="1"/>
  <c r="W13" i="24"/>
  <c r="Y13" i="24" s="1"/>
  <c r="AI71" i="24"/>
  <c r="AG69" i="24"/>
  <c r="AK69" i="24" s="1"/>
  <c r="AG53" i="24"/>
  <c r="AN53" i="24" s="1"/>
  <c r="AX53" i="24" s="1"/>
  <c r="X49" i="24"/>
  <c r="AA49" i="24" s="1"/>
  <c r="AB49" i="24" s="1"/>
  <c r="AC49" i="24" s="1"/>
  <c r="AJ49" i="24" s="1"/>
  <c r="AE71" i="24"/>
  <c r="AF71" i="24" s="1"/>
  <c r="P8" i="24"/>
  <c r="P94" i="24"/>
  <c r="AE102" i="24"/>
  <c r="AF102" i="24" s="1"/>
  <c r="AP94" i="24"/>
  <c r="W61" i="24"/>
  <c r="Y61" i="24" s="1"/>
  <c r="P93" i="24"/>
  <c r="W65" i="24"/>
  <c r="Y65" i="24" s="1"/>
  <c r="W6" i="24"/>
  <c r="Y6" i="24" s="1"/>
  <c r="X22" i="24"/>
  <c r="AA22" i="24" s="1"/>
  <c r="AB22" i="24" s="1"/>
  <c r="AC22" i="24" s="1"/>
  <c r="AP49" i="24"/>
  <c r="P77" i="24"/>
  <c r="X37" i="24"/>
  <c r="AA37" i="24" s="1"/>
  <c r="AB37" i="24" s="1"/>
  <c r="AC37" i="24" s="1"/>
  <c r="AJ37" i="24" s="1"/>
  <c r="W43" i="24"/>
  <c r="Y43" i="24" s="1"/>
  <c r="X102" i="24"/>
  <c r="AA102" i="24" s="1"/>
  <c r="AB102" i="24" s="1"/>
  <c r="AC102" i="24" s="1"/>
  <c r="AJ102" i="24" s="1"/>
  <c r="P35" i="24"/>
  <c r="AP84" i="24"/>
  <c r="P49" i="24"/>
  <c r="P81" i="24"/>
  <c r="AI22" i="24"/>
  <c r="W102" i="24"/>
  <c r="Y102" i="24" s="1"/>
  <c r="X65" i="24"/>
  <c r="AA65" i="24" s="1"/>
  <c r="AB65" i="24" s="1"/>
  <c r="AC65" i="24" s="1"/>
  <c r="AJ65" i="24" s="1"/>
  <c r="Q38" i="24"/>
  <c r="R38" i="24" s="1"/>
  <c r="Q9" i="24"/>
  <c r="R9" i="24" s="1"/>
  <c r="Q15" i="24"/>
  <c r="R15" i="24" s="1"/>
  <c r="AP90" i="24"/>
  <c r="Q90" i="24"/>
  <c r="R90" i="24" s="1"/>
  <c r="Q47" i="24"/>
  <c r="R47" i="24" s="1"/>
  <c r="AP99" i="24"/>
  <c r="Q99" i="24"/>
  <c r="R99" i="24" s="1"/>
  <c r="Q76" i="24"/>
  <c r="R76" i="24" s="1"/>
  <c r="AP80" i="24"/>
  <c r="Q80" i="24"/>
  <c r="R80" i="24" s="1"/>
  <c r="AP6" i="24"/>
  <c r="Q6" i="24"/>
  <c r="R6" i="24" s="1"/>
  <c r="AP61" i="24"/>
  <c r="Q61" i="24"/>
  <c r="R61" i="24" s="1"/>
  <c r="AP75" i="24"/>
  <c r="Q75" i="24"/>
  <c r="R75" i="24" s="1"/>
  <c r="Q103" i="24"/>
  <c r="R103" i="24" s="1"/>
  <c r="AP44" i="24"/>
  <c r="Q44" i="24"/>
  <c r="R44" i="24" s="1"/>
  <c r="Q102" i="24"/>
  <c r="R102" i="24" s="1"/>
  <c r="Q65" i="24"/>
  <c r="R65" i="24" s="1"/>
  <c r="P52" i="24"/>
  <c r="Q52" i="24"/>
  <c r="R52" i="24" s="1"/>
  <c r="AP22" i="24"/>
  <c r="Q22" i="24"/>
  <c r="R22" i="24" s="1"/>
  <c r="AP45" i="24"/>
  <c r="Q45" i="24"/>
  <c r="R45" i="24" s="1"/>
  <c r="P39" i="24"/>
  <c r="Q39" i="24"/>
  <c r="R39" i="24" s="1"/>
  <c r="Q37" i="24"/>
  <c r="R37" i="24" s="1"/>
  <c r="AP88" i="24"/>
  <c r="Q88" i="24"/>
  <c r="R88" i="24" s="1"/>
  <c r="AP67" i="24"/>
  <c r="Q67" i="24"/>
  <c r="R67" i="24" s="1"/>
  <c r="Q77" i="24"/>
  <c r="R77" i="24" s="1"/>
  <c r="Q17" i="24"/>
  <c r="R17" i="24" s="1"/>
  <c r="AP16" i="24"/>
  <c r="Q16" i="24"/>
  <c r="R16" i="24" s="1"/>
  <c r="Q7" i="24"/>
  <c r="R7" i="24" s="1"/>
  <c r="Q98" i="24"/>
  <c r="R98" i="24" s="1"/>
  <c r="P57" i="24"/>
  <c r="Q57" i="24"/>
  <c r="R57" i="24" s="1"/>
  <c r="Q58" i="24"/>
  <c r="R58" i="24" s="1"/>
  <c r="AP43" i="24"/>
  <c r="Q43" i="24"/>
  <c r="R43" i="24" s="1"/>
  <c r="P71" i="24"/>
  <c r="Q71" i="24"/>
  <c r="R71" i="24" s="1"/>
  <c r="P11" i="24"/>
  <c r="Q11" i="24"/>
  <c r="R11" i="24" s="1"/>
  <c r="AP12" i="24"/>
  <c r="Q12" i="24"/>
  <c r="R12" i="24" s="1"/>
  <c r="Q13" i="24"/>
  <c r="R13" i="24" s="1"/>
  <c r="P26" i="24"/>
  <c r="Q26" i="24"/>
  <c r="R26" i="24" s="1"/>
  <c r="AP62" i="24"/>
  <c r="Q62" i="24"/>
  <c r="R62" i="24" s="1"/>
  <c r="AP13" i="24"/>
  <c r="P98" i="24"/>
  <c r="AE93" i="24"/>
  <c r="AF93" i="24" s="1"/>
  <c r="W37" i="24"/>
  <c r="Y37" i="24" s="1"/>
  <c r="AI94" i="24"/>
  <c r="AE49" i="24"/>
  <c r="AF49" i="24" s="1"/>
  <c r="AP57" i="24"/>
  <c r="W94" i="24"/>
  <c r="Y94" i="24" s="1"/>
  <c r="P62" i="24"/>
  <c r="P13" i="24"/>
  <c r="P43" i="24"/>
  <c r="AI93" i="24"/>
  <c r="AE37" i="24"/>
  <c r="W8" i="24"/>
  <c r="Y8" i="24" s="1"/>
  <c r="X94" i="24"/>
  <c r="W49" i="24"/>
  <c r="Y49" i="24" s="1"/>
  <c r="P7" i="24"/>
  <c r="P58" i="24"/>
  <c r="X93" i="24"/>
  <c r="AA93" i="24" s="1"/>
  <c r="AB93" i="24" s="1"/>
  <c r="AC93" i="24" s="1"/>
  <c r="P12" i="24"/>
  <c r="AE8" i="24"/>
  <c r="P103" i="24"/>
  <c r="P102" i="24"/>
  <c r="BI5" i="24"/>
  <c r="P6" i="24"/>
  <c r="P75" i="24"/>
  <c r="AP65" i="24"/>
  <c r="P65" i="24"/>
  <c r="AE34" i="24"/>
  <c r="AF34" i="24" s="1"/>
  <c r="X99" i="24"/>
  <c r="AA99" i="24" s="1"/>
  <c r="AB99" i="24" s="1"/>
  <c r="AC99" i="24" s="1"/>
  <c r="AJ99" i="24" s="1"/>
  <c r="AI98" i="24"/>
  <c r="W98" i="24"/>
  <c r="Y98" i="24" s="1"/>
  <c r="AE98" i="24"/>
  <c r="X98" i="24"/>
  <c r="AA98" i="24" s="1"/>
  <c r="AB98" i="24" s="1"/>
  <c r="AC98" i="24" s="1"/>
  <c r="AE57" i="24"/>
  <c r="AI57" i="24"/>
  <c r="W57" i="24"/>
  <c r="Y57" i="24" s="1"/>
  <c r="X57" i="24"/>
  <c r="AA57" i="24" s="1"/>
  <c r="AB57" i="24" s="1"/>
  <c r="AC57" i="24" s="1"/>
  <c r="X58" i="24"/>
  <c r="AA58" i="24" s="1"/>
  <c r="AB58" i="24" s="1"/>
  <c r="AC58" i="24" s="1"/>
  <c r="AJ58" i="24" s="1"/>
  <c r="AE58" i="24"/>
  <c r="W58" i="24"/>
  <c r="Y58" i="24" s="1"/>
  <c r="X11" i="24"/>
  <c r="AA11" i="24" s="1"/>
  <c r="AB11" i="24" s="1"/>
  <c r="AC11" i="24" s="1"/>
  <c r="AJ11" i="24" s="1"/>
  <c r="AE11" i="24"/>
  <c r="AE12" i="24"/>
  <c r="AI12" i="24"/>
  <c r="X12" i="24"/>
  <c r="AA12" i="24" s="1"/>
  <c r="AB12" i="24" s="1"/>
  <c r="AC12" i="24" s="1"/>
  <c r="AP30" i="24"/>
  <c r="AI26" i="24"/>
  <c r="X26" i="24"/>
  <c r="AI62" i="24"/>
  <c r="W62" i="24"/>
  <c r="Y62" i="24" s="1"/>
  <c r="AE62" i="24"/>
  <c r="X62" i="24"/>
  <c r="AA62" i="24" s="1"/>
  <c r="AB62" i="24" s="1"/>
  <c r="AC62" i="24" s="1"/>
  <c r="AP20" i="24"/>
  <c r="AP48" i="24"/>
  <c r="AP34" i="24"/>
  <c r="W9" i="24"/>
  <c r="Y9" i="24" s="1"/>
  <c r="AI9" i="24"/>
  <c r="AE9" i="24"/>
  <c r="X9" i="24"/>
  <c r="AA9" i="24" s="1"/>
  <c r="AB9" i="24" s="1"/>
  <c r="AC9" i="24" s="1"/>
  <c r="AE90" i="24"/>
  <c r="X90" i="24"/>
  <c r="AA90" i="24" s="1"/>
  <c r="AB90" i="24" s="1"/>
  <c r="AC90" i="24" s="1"/>
  <c r="AI90" i="24"/>
  <c r="AE47" i="24"/>
  <c r="X47" i="24"/>
  <c r="AA47" i="24" s="1"/>
  <c r="AB47" i="24" s="1"/>
  <c r="AC47" i="24" s="1"/>
  <c r="AJ47" i="24" s="1"/>
  <c r="AE20" i="24"/>
  <c r="X20" i="24"/>
  <c r="AA20" i="24" s="1"/>
  <c r="AB20" i="24" s="1"/>
  <c r="AC20" i="24" s="1"/>
  <c r="AI20" i="24"/>
  <c r="P22" i="24"/>
  <c r="W20" i="24"/>
  <c r="Y20" i="24" s="1"/>
  <c r="W34" i="24"/>
  <c r="Y34" i="24" s="1"/>
  <c r="AE99" i="24"/>
  <c r="W47" i="24"/>
  <c r="Y47" i="24" s="1"/>
  <c r="AI61" i="24"/>
  <c r="AJ61" i="24" s="1"/>
  <c r="AE61" i="24"/>
  <c r="AF61" i="24" s="1"/>
  <c r="AI75" i="24"/>
  <c r="W75" i="24"/>
  <c r="Y75" i="24" s="1"/>
  <c r="AE75" i="24"/>
  <c r="X75" i="24"/>
  <c r="AA75" i="24" s="1"/>
  <c r="AB75" i="24" s="1"/>
  <c r="AC75" i="24" s="1"/>
  <c r="AI103" i="24"/>
  <c r="AE103" i="24"/>
  <c r="W103" i="24"/>
  <c r="Y103" i="24" s="1"/>
  <c r="X103" i="24"/>
  <c r="AA103" i="24" s="1"/>
  <c r="AB103" i="24" s="1"/>
  <c r="AC103" i="24" s="1"/>
  <c r="AI44" i="24"/>
  <c r="X44" i="24"/>
  <c r="AA44" i="24" s="1"/>
  <c r="AB44" i="24" s="1"/>
  <c r="AC44" i="24" s="1"/>
  <c r="W44" i="24"/>
  <c r="Y44" i="24" s="1"/>
  <c r="R84" i="24"/>
  <c r="P84" i="24"/>
  <c r="AI52" i="24"/>
  <c r="X52" i="24"/>
  <c r="AA52" i="24" s="1"/>
  <c r="AB52" i="24" s="1"/>
  <c r="AC52" i="24" s="1"/>
  <c r="AE52" i="24"/>
  <c r="W52" i="24"/>
  <c r="Y52" i="24" s="1"/>
  <c r="W45" i="24"/>
  <c r="Y45" i="24" s="1"/>
  <c r="AI45" i="24"/>
  <c r="AE45" i="24"/>
  <c r="X45" i="24"/>
  <c r="AA45" i="24" s="1"/>
  <c r="AB45" i="24" s="1"/>
  <c r="AC45" i="24" s="1"/>
  <c r="AP8" i="24"/>
  <c r="AP81" i="24"/>
  <c r="AP35" i="24"/>
  <c r="AP93" i="24"/>
  <c r="AP103" i="24"/>
  <c r="AE30" i="24"/>
  <c r="W30" i="24"/>
  <c r="Y30" i="24" s="1"/>
  <c r="X30" i="24"/>
  <c r="AA30" i="24" s="1"/>
  <c r="AB30" i="24" s="1"/>
  <c r="AC30" i="24" s="1"/>
  <c r="AI30" i="24"/>
  <c r="W38" i="24"/>
  <c r="Y38" i="24" s="1"/>
  <c r="AI38" i="24"/>
  <c r="AE38" i="24"/>
  <c r="X38" i="24"/>
  <c r="AA38" i="24" s="1"/>
  <c r="AB38" i="24" s="1"/>
  <c r="AC38" i="24" s="1"/>
  <c r="W15" i="24"/>
  <c r="Y15" i="24" s="1"/>
  <c r="X15" i="24"/>
  <c r="AA15" i="24" s="1"/>
  <c r="AB15" i="24" s="1"/>
  <c r="AC15" i="24" s="1"/>
  <c r="AJ15" i="24" s="1"/>
  <c r="AP52" i="24"/>
  <c r="AE24" i="24"/>
  <c r="W24" i="24"/>
  <c r="Y24" i="24" s="1"/>
  <c r="X24" i="24"/>
  <c r="AA24" i="24" s="1"/>
  <c r="AB24" i="24" s="1"/>
  <c r="AC24" i="24" s="1"/>
  <c r="AI24" i="24"/>
  <c r="AI48" i="24"/>
  <c r="X48" i="24"/>
  <c r="AA48" i="24" s="1"/>
  <c r="AB48" i="24" s="1"/>
  <c r="AC48" i="24" s="1"/>
  <c r="AE66" i="24"/>
  <c r="AI66" i="24"/>
  <c r="X66" i="24"/>
  <c r="AA66" i="24" s="1"/>
  <c r="AB66" i="24" s="1"/>
  <c r="AC66" i="24" s="1"/>
  <c r="W66" i="24"/>
  <c r="Y66" i="24" s="1"/>
  <c r="X76" i="24"/>
  <c r="AA76" i="24" s="1"/>
  <c r="AB76" i="24" s="1"/>
  <c r="AC76" i="24" s="1"/>
  <c r="W76" i="24"/>
  <c r="Y76" i="24" s="1"/>
  <c r="AE76" i="24"/>
  <c r="AI76" i="24"/>
  <c r="W80" i="24"/>
  <c r="Y80" i="24" s="1"/>
  <c r="AE80" i="24"/>
  <c r="AI80" i="24"/>
  <c r="X80" i="24"/>
  <c r="AA80" i="24" s="1"/>
  <c r="AB80" i="24" s="1"/>
  <c r="AC80" i="24" s="1"/>
  <c r="AF44" i="24"/>
  <c r="AT53" i="24"/>
  <c r="BA53" i="24" s="1"/>
  <c r="AP102" i="24"/>
  <c r="W90" i="24"/>
  <c r="Y90" i="24" s="1"/>
  <c r="P45" i="24"/>
  <c r="AE15" i="24"/>
  <c r="AF15" i="24" s="1"/>
  <c r="P44" i="24"/>
  <c r="X34" i="24"/>
  <c r="AA34" i="24" s="1"/>
  <c r="AB34" i="24" s="1"/>
  <c r="AC34" i="24" s="1"/>
  <c r="AJ34" i="24" s="1"/>
  <c r="AE48" i="24"/>
  <c r="AF48" i="24" s="1"/>
  <c r="AP71" i="24"/>
  <c r="AP11" i="24"/>
  <c r="AE39" i="24"/>
  <c r="X39" i="24"/>
  <c r="AA39" i="24" s="1"/>
  <c r="AB39" i="24" s="1"/>
  <c r="AC39" i="24" s="1"/>
  <c r="AI39" i="24"/>
  <c r="W39" i="24"/>
  <c r="Y39" i="24" s="1"/>
  <c r="AI84" i="24"/>
  <c r="X84" i="24"/>
  <c r="AA84" i="24" s="1"/>
  <c r="AB84" i="24" s="1"/>
  <c r="AC84" i="24" s="1"/>
  <c r="AE84" i="24"/>
  <c r="W84" i="24"/>
  <c r="Y84" i="24" s="1"/>
  <c r="AP26" i="24"/>
  <c r="AI88" i="24"/>
  <c r="AJ88" i="24" s="1"/>
  <c r="AE88" i="24"/>
  <c r="AF88" i="24" s="1"/>
  <c r="AE67" i="24"/>
  <c r="AI67" i="24"/>
  <c r="X67" i="24"/>
  <c r="AA67" i="24" s="1"/>
  <c r="AB67" i="24" s="1"/>
  <c r="AC67" i="24" s="1"/>
  <c r="W67" i="24"/>
  <c r="Y67" i="24" s="1"/>
  <c r="X77" i="24"/>
  <c r="AA77" i="24" s="1"/>
  <c r="AB77" i="24" s="1"/>
  <c r="AC77" i="24" s="1"/>
  <c r="AI77" i="24"/>
  <c r="AE77" i="24"/>
  <c r="W77" i="24"/>
  <c r="Y77" i="24" s="1"/>
  <c r="AI17" i="24"/>
  <c r="X17" i="24"/>
  <c r="AA17" i="24" s="1"/>
  <c r="AB17" i="24" s="1"/>
  <c r="AC17" i="24" s="1"/>
  <c r="AE17" i="24"/>
  <c r="W17" i="24"/>
  <c r="Y17" i="24" s="1"/>
  <c r="AE16" i="24"/>
  <c r="X16" i="24"/>
  <c r="AA16" i="24" s="1"/>
  <c r="AB16" i="24" s="1"/>
  <c r="AC16" i="24" s="1"/>
  <c r="AI16" i="24"/>
  <c r="AI81" i="24"/>
  <c r="X81" i="24"/>
  <c r="AA81" i="24" s="1"/>
  <c r="AB81" i="24" s="1"/>
  <c r="AC81" i="24" s="1"/>
  <c r="W81" i="24"/>
  <c r="Y81" i="24" s="1"/>
  <c r="W35" i="24"/>
  <c r="Y35" i="24" s="1"/>
  <c r="AE35" i="24"/>
  <c r="AF35" i="24" s="1"/>
  <c r="W7" i="24"/>
  <c r="Y7" i="24" s="1"/>
  <c r="X7" i="24"/>
  <c r="AA7" i="24" s="1"/>
  <c r="AB7" i="24" s="1"/>
  <c r="AC7" i="24" s="1"/>
  <c r="AI7" i="24"/>
  <c r="AE7" i="24"/>
  <c r="AI6" i="24"/>
  <c r="AJ6" i="24" s="1"/>
  <c r="AE6" i="24"/>
  <c r="AT50" i="24"/>
  <c r="BA50" i="24" s="1"/>
  <c r="AT32" i="24"/>
  <c r="BA32" i="24" s="1"/>
  <c r="AT23" i="24"/>
  <c r="BA23" i="24" s="1"/>
  <c r="AT25" i="24"/>
  <c r="BA25" i="24" s="1"/>
  <c r="AT14" i="24"/>
  <c r="BA14" i="24" s="1"/>
  <c r="AX5" i="24"/>
  <c r="AT5" i="24"/>
  <c r="BA5" i="24" s="1"/>
  <c r="AF110" i="24"/>
  <c r="AK110" i="24" s="1"/>
  <c r="BJ5" i="24"/>
  <c r="AK5" i="24"/>
  <c r="AS5" i="24"/>
  <c r="AQ5" i="24"/>
  <c r="BH5" i="24"/>
  <c r="BT5" i="24"/>
  <c r="AF110" i="25"/>
  <c r="AJ110" i="25" s="1"/>
  <c r="Z5" i="25"/>
  <c r="AA5" i="25" s="1"/>
  <c r="AB5" i="25" s="1"/>
  <c r="AI5" i="25" s="1"/>
  <c r="AF5" i="25"/>
  <c r="AS40" i="25"/>
  <c r="AX40" i="25" s="1"/>
  <c r="AS13" i="25"/>
  <c r="AX13" i="25" s="1"/>
  <c r="AS29" i="25"/>
  <c r="AX29" i="25" s="1"/>
  <c r="AS44" i="25"/>
  <c r="AX44" i="25" s="1"/>
  <c r="AS14" i="25"/>
  <c r="AX14" i="25" s="1"/>
  <c r="AS36" i="25"/>
  <c r="AX36" i="25" s="1"/>
  <c r="AS9" i="25"/>
  <c r="AX9" i="25" s="1"/>
  <c r="AS47" i="25"/>
  <c r="AX47" i="25" s="1"/>
  <c r="AS22" i="25"/>
  <c r="AX22" i="25" s="1"/>
  <c r="AS88" i="25"/>
  <c r="AX88" i="25" s="1"/>
  <c r="AS79" i="25"/>
  <c r="AX79" i="25" s="1"/>
  <c r="AS20" i="25"/>
  <c r="AX20" i="25" s="1"/>
  <c r="AS96" i="25"/>
  <c r="AX96" i="25" s="1"/>
  <c r="AS62" i="25"/>
  <c r="AX62" i="25" s="1"/>
  <c r="AS86" i="25"/>
  <c r="AX86" i="25" s="1"/>
  <c r="AS93" i="25"/>
  <c r="AX93" i="25" s="1"/>
  <c r="AS61" i="25"/>
  <c r="AX61" i="25" s="1"/>
  <c r="AS70" i="25"/>
  <c r="AX70" i="25" s="1"/>
  <c r="AS26" i="25"/>
  <c r="AX26" i="25" s="1"/>
  <c r="AS38" i="25"/>
  <c r="AX38" i="25" s="1"/>
  <c r="AS24" i="25"/>
  <c r="AX24" i="25" s="1"/>
  <c r="AS104" i="25"/>
  <c r="AX104" i="25" s="1"/>
  <c r="AS27" i="25"/>
  <c r="AX27" i="25" s="1"/>
  <c r="AS102" i="25"/>
  <c r="AX102" i="25" s="1"/>
  <c r="AS17" i="25"/>
  <c r="AX17" i="25" s="1"/>
  <c r="AS48" i="25"/>
  <c r="AX48" i="25" s="1"/>
  <c r="AS30" i="25"/>
  <c r="AX30" i="25" s="1"/>
  <c r="AS103" i="25"/>
  <c r="AX103" i="25" s="1"/>
  <c r="AS28" i="25"/>
  <c r="AX28" i="25" s="1"/>
  <c r="AS105" i="25"/>
  <c r="AX105" i="25" s="1"/>
  <c r="B104" i="2" s="1"/>
  <c r="AS81" i="25"/>
  <c r="AX81" i="25" s="1"/>
  <c r="AS11" i="25"/>
  <c r="AX11" i="25" s="1"/>
  <c r="AS91" i="25"/>
  <c r="AX91" i="25" s="1"/>
  <c r="AS49" i="25"/>
  <c r="AX49" i="25" s="1"/>
  <c r="AS6" i="25"/>
  <c r="AX6" i="25" s="1"/>
  <c r="AS56" i="25"/>
  <c r="AX56" i="25" s="1"/>
  <c r="AS76" i="25"/>
  <c r="AX76" i="25" s="1"/>
  <c r="AS92" i="25"/>
  <c r="AX92" i="25" s="1"/>
  <c r="AS78" i="25"/>
  <c r="AX78" i="25" s="1"/>
  <c r="AS94" i="25"/>
  <c r="AX94" i="25" s="1"/>
  <c r="AS41" i="25"/>
  <c r="AX41" i="25" s="1"/>
  <c r="AS21" i="25"/>
  <c r="AX21" i="25" s="1"/>
  <c r="AS8" i="25"/>
  <c r="AX8" i="25" s="1"/>
  <c r="AS67" i="25"/>
  <c r="AX67" i="25" s="1"/>
  <c r="AS42" i="25"/>
  <c r="AX42" i="25" s="1"/>
  <c r="AS101" i="25"/>
  <c r="AX101" i="25" s="1"/>
  <c r="AS51" i="25"/>
  <c r="AX51" i="25" s="1"/>
  <c r="AS64" i="25"/>
  <c r="AX64" i="25" s="1"/>
  <c r="AS12" i="25"/>
  <c r="AX12" i="25" s="1"/>
  <c r="AS87" i="25"/>
  <c r="AX87" i="25" s="1"/>
  <c r="AS37" i="25"/>
  <c r="AX37" i="25" s="1"/>
  <c r="AS82" i="25"/>
  <c r="AX82" i="25" s="1"/>
  <c r="AS54" i="25"/>
  <c r="AX54" i="25" s="1"/>
  <c r="AS68" i="25"/>
  <c r="AX68" i="25" s="1"/>
  <c r="AS52" i="25"/>
  <c r="AX52" i="25" s="1"/>
  <c r="AS63" i="25"/>
  <c r="AX63" i="25" s="1"/>
  <c r="AS35" i="25"/>
  <c r="AX35" i="25" s="1"/>
  <c r="AS53" i="25"/>
  <c r="AX53" i="25" s="1"/>
  <c r="AS83" i="25"/>
  <c r="AX83" i="25" s="1"/>
  <c r="AS59" i="25"/>
  <c r="AX59" i="25" s="1"/>
  <c r="AS100" i="25"/>
  <c r="AX100" i="25" s="1"/>
  <c r="AS15" i="25"/>
  <c r="AX15" i="25" s="1"/>
  <c r="AS71" i="25"/>
  <c r="AX71" i="25" s="1"/>
  <c r="AS97" i="25"/>
  <c r="AX97" i="25" s="1"/>
  <c r="AS31" i="25"/>
  <c r="AX31" i="25" s="1"/>
  <c r="AS69" i="25"/>
  <c r="AX69" i="25" s="1"/>
  <c r="AJ216" i="25"/>
  <c r="AM216" i="25"/>
  <c r="AJ265" i="25"/>
  <c r="AM265" i="25"/>
  <c r="CD265" i="25" s="1"/>
  <c r="AM275" i="25"/>
  <c r="CD275" i="25" s="1"/>
  <c r="AJ275" i="25"/>
  <c r="AJ189" i="25"/>
  <c r="AM189" i="25"/>
  <c r="BV189" i="25" s="1"/>
  <c r="AJ224" i="25"/>
  <c r="AM224" i="25"/>
  <c r="CD224" i="25" s="1"/>
  <c r="AJ259" i="25"/>
  <c r="AM259" i="25"/>
  <c r="CD259" i="25" s="1"/>
  <c r="AJ156" i="25"/>
  <c r="AM156" i="25"/>
  <c r="BV156" i="25" s="1"/>
  <c r="AM162" i="25"/>
  <c r="AJ162" i="25"/>
  <c r="AM174" i="25"/>
  <c r="BV174" i="25" s="1"/>
  <c r="AJ174" i="25"/>
  <c r="AJ31" i="25"/>
  <c r="AM31" i="25"/>
  <c r="AJ116" i="25"/>
  <c r="AM116" i="25"/>
  <c r="BV116" i="25" s="1"/>
  <c r="AS10" i="25"/>
  <c r="AX10" i="25" s="1"/>
  <c r="AJ59" i="25"/>
  <c r="AM59" i="25"/>
  <c r="CD59" i="25" s="1"/>
  <c r="AJ293" i="25"/>
  <c r="AM293" i="25"/>
  <c r="CD293" i="25" s="1"/>
  <c r="AM138" i="25"/>
  <c r="BV138" i="25" s="1"/>
  <c r="AJ138" i="25"/>
  <c r="AJ127" i="25"/>
  <c r="AM127" i="25"/>
  <c r="BV127" i="25" s="1"/>
  <c r="AJ99" i="25"/>
  <c r="AM99" i="25"/>
  <c r="CD99" i="25" s="1"/>
  <c r="AJ26" i="25"/>
  <c r="AM26" i="25"/>
  <c r="CD26" i="25" s="1"/>
  <c r="AM136" i="25"/>
  <c r="BV136" i="25" s="1"/>
  <c r="AJ136" i="25"/>
  <c r="AM98" i="25"/>
  <c r="BV98" i="25" s="1"/>
  <c r="AJ98" i="25"/>
  <c r="AM254" i="25"/>
  <c r="AJ254" i="25"/>
  <c r="AJ173" i="25"/>
  <c r="AM173" i="25"/>
  <c r="CD173" i="25" s="1"/>
  <c r="AS60" i="25"/>
  <c r="AX60" i="25" s="1"/>
  <c r="AM311" i="25"/>
  <c r="CD311" i="25" s="1"/>
  <c r="AJ311" i="25"/>
  <c r="AM159" i="25"/>
  <c r="BV159" i="25" s="1"/>
  <c r="AJ159" i="25"/>
  <c r="AM103" i="25"/>
  <c r="CD103" i="25" s="1"/>
  <c r="AJ103" i="25"/>
  <c r="AJ85" i="25"/>
  <c r="AM85" i="25"/>
  <c r="AJ269" i="25"/>
  <c r="AM269" i="25"/>
  <c r="CD269" i="25" s="1"/>
  <c r="AS57" i="25"/>
  <c r="AX57" i="25" s="1"/>
  <c r="AJ157" i="25"/>
  <c r="AM157" i="25"/>
  <c r="BV157" i="25" s="1"/>
  <c r="AJ242" i="25"/>
  <c r="AM242" i="25"/>
  <c r="CD242" i="25" s="1"/>
  <c r="AM102" i="25"/>
  <c r="CD102" i="25" s="1"/>
  <c r="AJ102" i="25"/>
  <c r="AM93" i="25"/>
  <c r="CD93" i="25" s="1"/>
  <c r="AJ93" i="25"/>
  <c r="AM87" i="25"/>
  <c r="CD87" i="25" s="1"/>
  <c r="AJ87" i="25"/>
  <c r="AJ135" i="25"/>
  <c r="AM135" i="25"/>
  <c r="AM309" i="25"/>
  <c r="CD309" i="25" s="1"/>
  <c r="AJ309" i="25"/>
  <c r="AJ310" i="25"/>
  <c r="AM310" i="25"/>
  <c r="CD310" i="25" s="1"/>
  <c r="AJ15" i="25"/>
  <c r="AM15" i="25"/>
  <c r="BV15" i="25" s="1"/>
  <c r="AM14" i="25"/>
  <c r="CD14" i="25" s="1"/>
  <c r="AJ14" i="25"/>
  <c r="AM257" i="25"/>
  <c r="AJ257" i="25"/>
  <c r="AJ153" i="25"/>
  <c r="AM153" i="25"/>
  <c r="BV153" i="25" s="1"/>
  <c r="AJ210" i="25"/>
  <c r="AM210" i="25"/>
  <c r="BV210" i="25" s="1"/>
  <c r="AS46" i="25"/>
  <c r="AX46" i="25" s="1"/>
  <c r="AM178" i="25"/>
  <c r="BV178" i="25" s="1"/>
  <c r="AJ178" i="25"/>
  <c r="AM57" i="25"/>
  <c r="AJ57" i="25"/>
  <c r="AJ272" i="25"/>
  <c r="AM272" i="25"/>
  <c r="CD272" i="25" s="1"/>
  <c r="AS23" i="25"/>
  <c r="AX23" i="25" s="1"/>
  <c r="AM56" i="25"/>
  <c r="AJ56" i="25"/>
  <c r="AS58" i="25"/>
  <c r="AX58" i="25" s="1"/>
  <c r="AJ113" i="25"/>
  <c r="AM113" i="25"/>
  <c r="BV113" i="25" s="1"/>
  <c r="AM155" i="25"/>
  <c r="BV155" i="25" s="1"/>
  <c r="AJ155" i="25"/>
  <c r="AJ180" i="25"/>
  <c r="AM180" i="25"/>
  <c r="BV180" i="25" s="1"/>
  <c r="AS90" i="25"/>
  <c r="AX90" i="25" s="1"/>
  <c r="AM81" i="25"/>
  <c r="CD81" i="25" s="1"/>
  <c r="AJ81" i="25"/>
  <c r="AM139" i="25"/>
  <c r="BV139" i="25" s="1"/>
  <c r="AJ139" i="25"/>
  <c r="AS33" i="25"/>
  <c r="AX33" i="25" s="1"/>
  <c r="AM17" i="25"/>
  <c r="CD17" i="25" s="1"/>
  <c r="AJ17" i="25"/>
  <c r="AM264" i="25"/>
  <c r="CD264" i="25" s="1"/>
  <c r="AJ264" i="25"/>
  <c r="AM66" i="25"/>
  <c r="BT66" i="25" s="1"/>
  <c r="AJ66" i="25"/>
  <c r="AM286" i="25"/>
  <c r="CD286" i="25" s="1"/>
  <c r="AJ286" i="25"/>
  <c r="AJ131" i="25"/>
  <c r="AM131" i="25"/>
  <c r="AJ143" i="25"/>
  <c r="AM143" i="25"/>
  <c r="BV143" i="25" s="1"/>
  <c r="AM250" i="25"/>
  <c r="CD250" i="25" s="1"/>
  <c r="AJ250" i="25"/>
  <c r="AJ244" i="25"/>
  <c r="AM244" i="25"/>
  <c r="CD244" i="25" s="1"/>
  <c r="AM78" i="25"/>
  <c r="CD78" i="25" s="1"/>
  <c r="AJ78" i="25"/>
  <c r="AM35" i="25"/>
  <c r="BV35" i="25" s="1"/>
  <c r="AJ35" i="25"/>
  <c r="AM53" i="25"/>
  <c r="CD53" i="25" s="1"/>
  <c r="AJ53" i="25"/>
  <c r="AM74" i="25"/>
  <c r="BV74" i="25" s="1"/>
  <c r="AJ74" i="25"/>
  <c r="AM39" i="25"/>
  <c r="BV39" i="25" s="1"/>
  <c r="AJ39" i="25"/>
  <c r="AJ121" i="25"/>
  <c r="AM121" i="25"/>
  <c r="BV121" i="25" s="1"/>
  <c r="AJ170" i="25"/>
  <c r="AM170" i="25"/>
  <c r="BV170" i="25" s="1"/>
  <c r="AM20" i="25"/>
  <c r="CD20" i="25" s="1"/>
  <c r="AJ20" i="25"/>
  <c r="AM260" i="25"/>
  <c r="CD260" i="25" s="1"/>
  <c r="AJ260" i="25"/>
  <c r="AM22" i="25"/>
  <c r="BV22" i="25" s="1"/>
  <c r="AJ22" i="25"/>
  <c r="AM251" i="25"/>
  <c r="AJ251" i="25"/>
  <c r="AJ222" i="25"/>
  <c r="AM222" i="25"/>
  <c r="AJ196" i="25"/>
  <c r="AM196" i="25"/>
  <c r="BV196" i="25" s="1"/>
  <c r="AM16" i="25"/>
  <c r="BT16" i="25" s="1"/>
  <c r="AJ16" i="25"/>
  <c r="AM194" i="25"/>
  <c r="BV194" i="25" s="1"/>
  <c r="AJ194" i="25"/>
  <c r="AJ313" i="25"/>
  <c r="AM313" i="25"/>
  <c r="CD313" i="25" s="1"/>
  <c r="AJ166" i="25"/>
  <c r="AM166" i="25"/>
  <c r="BV166" i="25" s="1"/>
  <c r="AM41" i="25"/>
  <c r="AJ41" i="25"/>
  <c r="AM252" i="25"/>
  <c r="CD252" i="25" s="1"/>
  <c r="AJ252" i="25"/>
  <c r="AM182" i="25"/>
  <c r="BV182" i="25" s="1"/>
  <c r="AJ182" i="25"/>
  <c r="AJ273" i="25"/>
  <c r="AM273" i="25"/>
  <c r="CD273" i="25" s="1"/>
  <c r="AM55" i="25"/>
  <c r="BV55" i="25" s="1"/>
  <c r="AJ55" i="25"/>
  <c r="AJ233" i="25"/>
  <c r="AM233" i="25"/>
  <c r="CD233" i="25" s="1"/>
  <c r="AM38" i="25"/>
  <c r="CD38" i="25" s="1"/>
  <c r="AJ38" i="25"/>
  <c r="AS73" i="25"/>
  <c r="AX73" i="25" s="1"/>
  <c r="AS25" i="25"/>
  <c r="AX25" i="25" s="1"/>
  <c r="AS98" i="25"/>
  <c r="AX98" i="25" s="1"/>
  <c r="AJ64" i="25"/>
  <c r="AM64" i="25"/>
  <c r="CD64" i="25" s="1"/>
  <c r="AM245" i="25"/>
  <c r="AJ245" i="25"/>
  <c r="AM228" i="25"/>
  <c r="AJ228" i="25"/>
  <c r="AM295" i="25"/>
  <c r="CD295" i="25" s="1"/>
  <c r="AJ295" i="25"/>
  <c r="AM70" i="25"/>
  <c r="CD70" i="25" s="1"/>
  <c r="AJ70" i="25"/>
  <c r="AS43" i="25"/>
  <c r="AX43" i="25" s="1"/>
  <c r="AM217" i="25"/>
  <c r="CD217" i="25" s="1"/>
  <c r="AJ217" i="25"/>
  <c r="AS45" i="25"/>
  <c r="AX45" i="25" s="1"/>
  <c r="AM290" i="25"/>
  <c r="CD290" i="25" s="1"/>
  <c r="AJ290" i="25"/>
  <c r="AJ186" i="25"/>
  <c r="AM186" i="25"/>
  <c r="BV186" i="25" s="1"/>
  <c r="AJ282" i="25"/>
  <c r="AM282" i="25"/>
  <c r="CD282" i="25" s="1"/>
  <c r="AJ270" i="25"/>
  <c r="AM270" i="25"/>
  <c r="CD270" i="25" s="1"/>
  <c r="AJ51" i="25"/>
  <c r="AM51" i="25"/>
  <c r="CD51" i="25" s="1"/>
  <c r="AJ29" i="25"/>
  <c r="AM29" i="25"/>
  <c r="CD29" i="25" s="1"/>
  <c r="AJ7" i="25"/>
  <c r="AM7" i="25"/>
  <c r="BF7" i="25" s="1"/>
  <c r="AJ184" i="25"/>
  <c r="AM184" i="25"/>
  <c r="BV184" i="25" s="1"/>
  <c r="AJ112" i="25"/>
  <c r="AM112" i="25"/>
  <c r="BV112" i="25" s="1"/>
  <c r="AM158" i="25"/>
  <c r="BV158" i="25" s="1"/>
  <c r="AJ158" i="25"/>
  <c r="AM18" i="25"/>
  <c r="BF18" i="25" s="1"/>
  <c r="AJ18" i="25"/>
  <c r="AM34" i="25"/>
  <c r="BF34" i="25" s="1"/>
  <c r="AJ34" i="25"/>
  <c r="AJ95" i="25"/>
  <c r="AM95" i="25"/>
  <c r="BV95" i="25" s="1"/>
  <c r="AJ276" i="25"/>
  <c r="AM276" i="25"/>
  <c r="CD276" i="25" s="1"/>
  <c r="AJ171" i="25"/>
  <c r="AM171" i="25"/>
  <c r="BV171" i="25" s="1"/>
  <c r="AJ266" i="25"/>
  <c r="AM266" i="25"/>
  <c r="AM200" i="25"/>
  <c r="BV200" i="25" s="1"/>
  <c r="AJ200" i="25"/>
  <c r="AM152" i="25"/>
  <c r="BV152" i="25" s="1"/>
  <c r="AJ152" i="25"/>
  <c r="AJ89" i="25"/>
  <c r="AM89" i="25"/>
  <c r="AJ151" i="25"/>
  <c r="AM151" i="25"/>
  <c r="BV151" i="25" s="1"/>
  <c r="AS16" i="25"/>
  <c r="AX16" i="25" s="1"/>
  <c r="AJ314" i="25"/>
  <c r="AM314" i="25"/>
  <c r="CD314" i="25" s="1"/>
  <c r="AM75" i="25"/>
  <c r="BV75" i="25" s="1"/>
  <c r="AJ75" i="25"/>
  <c r="AJ165" i="25"/>
  <c r="AM165" i="25"/>
  <c r="BV165" i="25" s="1"/>
  <c r="AM150" i="25"/>
  <c r="BV150" i="25" s="1"/>
  <c r="AJ150" i="25"/>
  <c r="AM191" i="25"/>
  <c r="BV191" i="25" s="1"/>
  <c r="AJ191" i="25"/>
  <c r="AM287" i="25"/>
  <c r="CD287" i="25" s="1"/>
  <c r="AJ287" i="25"/>
  <c r="AM291" i="25"/>
  <c r="CD291" i="25" s="1"/>
  <c r="AJ291" i="25"/>
  <c r="AM84" i="25"/>
  <c r="BV84" i="25" s="1"/>
  <c r="AJ84" i="25"/>
  <c r="AM49" i="25"/>
  <c r="CD49" i="25" s="1"/>
  <c r="AJ49" i="25"/>
  <c r="AJ229" i="25"/>
  <c r="AM229" i="25"/>
  <c r="AM160" i="25"/>
  <c r="BV160" i="25" s="1"/>
  <c r="AJ160" i="25"/>
  <c r="AM128" i="25"/>
  <c r="BV128" i="25" s="1"/>
  <c r="AJ128" i="25"/>
  <c r="AJ126" i="25"/>
  <c r="AM126" i="25"/>
  <c r="BV126" i="25" s="1"/>
  <c r="AM241" i="25"/>
  <c r="CD241" i="25" s="1"/>
  <c r="AJ241" i="25"/>
  <c r="AJ28" i="25"/>
  <c r="AM28" i="25"/>
  <c r="BV28" i="25" s="1"/>
  <c r="AM208" i="25"/>
  <c r="BV208" i="25" s="1"/>
  <c r="AJ208" i="25"/>
  <c r="AJ149" i="25"/>
  <c r="AM149" i="25"/>
  <c r="BV149" i="25" s="1"/>
  <c r="AM117" i="25"/>
  <c r="AJ117" i="25"/>
  <c r="AS18" i="25"/>
  <c r="AX18" i="25" s="1"/>
  <c r="AJ72" i="25"/>
  <c r="AM72" i="25"/>
  <c r="BV72" i="25" s="1"/>
  <c r="AS34" i="25"/>
  <c r="AX34" i="25" s="1"/>
  <c r="AM71" i="25"/>
  <c r="AJ71" i="25"/>
  <c r="AM58" i="25"/>
  <c r="BV58" i="25" s="1"/>
  <c r="AJ58" i="25"/>
  <c r="AJ105" i="25"/>
  <c r="AM105" i="25"/>
  <c r="CD105" i="25" s="1"/>
  <c r="AM97" i="25"/>
  <c r="CD97" i="25" s="1"/>
  <c r="AJ97" i="25"/>
  <c r="AM277" i="25"/>
  <c r="CD277" i="25" s="1"/>
  <c r="AJ277" i="25"/>
  <c r="AJ129" i="25"/>
  <c r="AM129" i="25"/>
  <c r="BV129" i="25" s="1"/>
  <c r="AM92" i="25"/>
  <c r="CD92" i="25" s="1"/>
  <c r="AJ92" i="25"/>
  <c r="AM249" i="25"/>
  <c r="CD249" i="25" s="1"/>
  <c r="AJ249" i="25"/>
  <c r="AM32" i="25"/>
  <c r="BV32" i="25" s="1"/>
  <c r="AJ32" i="25"/>
  <c r="AJ296" i="25"/>
  <c r="AM296" i="25"/>
  <c r="CD296" i="25" s="1"/>
  <c r="AM288" i="25"/>
  <c r="CD288" i="25" s="1"/>
  <c r="AJ288" i="25"/>
  <c r="AJ114" i="25"/>
  <c r="AM114" i="25"/>
  <c r="BV114" i="25" s="1"/>
  <c r="AJ69" i="25"/>
  <c r="AM69" i="25"/>
  <c r="CD69" i="25" s="1"/>
  <c r="AJ188" i="25"/>
  <c r="AM188" i="25"/>
  <c r="BV188" i="25" s="1"/>
  <c r="AJ90" i="25"/>
  <c r="AM90" i="25"/>
  <c r="BV90" i="25" s="1"/>
  <c r="AM9" i="25"/>
  <c r="BV9" i="25" s="1"/>
  <c r="AJ9" i="25"/>
  <c r="AJ234" i="25"/>
  <c r="AM234" i="25"/>
  <c r="CD234" i="25" s="1"/>
  <c r="AJ67" i="25"/>
  <c r="AM67" i="25"/>
  <c r="CD67" i="25" s="1"/>
  <c r="AJ271" i="25"/>
  <c r="AM271" i="25"/>
  <c r="AJ10" i="25"/>
  <c r="AM10" i="25"/>
  <c r="BF10" i="25" s="1"/>
  <c r="AJ279" i="25"/>
  <c r="AM279" i="25"/>
  <c r="CD279" i="25" s="1"/>
  <c r="AJ45" i="25"/>
  <c r="AM45" i="25"/>
  <c r="CD45" i="25" s="1"/>
  <c r="AS66" i="25"/>
  <c r="AX66" i="25" s="1"/>
  <c r="AM303" i="25"/>
  <c r="CD303" i="25" s="1"/>
  <c r="AJ303" i="25"/>
  <c r="AM176" i="25"/>
  <c r="BV176" i="25" s="1"/>
  <c r="AJ176" i="25"/>
  <c r="AJ239" i="25"/>
  <c r="AM239" i="25"/>
  <c r="AJ104" i="25"/>
  <c r="AM104" i="25"/>
  <c r="CD104" i="25" s="1"/>
  <c r="AJ61" i="25"/>
  <c r="AM61" i="25"/>
  <c r="CD61" i="25" s="1"/>
  <c r="AS89" i="25"/>
  <c r="AX89" i="25" s="1"/>
  <c r="AS80" i="25"/>
  <c r="AX80" i="25" s="1"/>
  <c r="AJ258" i="25"/>
  <c r="AM258" i="25"/>
  <c r="CD258" i="25" s="1"/>
  <c r="AM120" i="25"/>
  <c r="BV120" i="25" s="1"/>
  <c r="AJ120" i="25"/>
  <c r="AJ263" i="25"/>
  <c r="AM263" i="25"/>
  <c r="AJ11" i="25"/>
  <c r="AM11" i="25"/>
  <c r="BV11" i="25" s="1"/>
  <c r="AJ115" i="25"/>
  <c r="AM115" i="25"/>
  <c r="BV115" i="25" s="1"/>
  <c r="AS19" i="25"/>
  <c r="AX19" i="25" s="1"/>
  <c r="AJ141" i="25"/>
  <c r="AM141" i="25"/>
  <c r="BV141" i="25" s="1"/>
  <c r="AM168" i="25"/>
  <c r="BV168" i="25" s="1"/>
  <c r="AJ168" i="25"/>
  <c r="AM278" i="25"/>
  <c r="CD278" i="25" s="1"/>
  <c r="AJ278" i="25"/>
  <c r="AJ302" i="25"/>
  <c r="AM302" i="25"/>
  <c r="CD302" i="25" s="1"/>
  <c r="AJ218" i="25"/>
  <c r="AM218" i="25"/>
  <c r="AJ65" i="25"/>
  <c r="AM65" i="25"/>
  <c r="BV65" i="25" s="1"/>
  <c r="AM122" i="25"/>
  <c r="BV122" i="25" s="1"/>
  <c r="AJ122" i="25"/>
  <c r="AJ285" i="25"/>
  <c r="AM285" i="25"/>
  <c r="AM144" i="25"/>
  <c r="BV144" i="25" s="1"/>
  <c r="AJ144" i="25"/>
  <c r="AM221" i="25"/>
  <c r="AJ221" i="25"/>
  <c r="AJ297" i="25"/>
  <c r="AM297" i="25"/>
  <c r="AJ181" i="25"/>
  <c r="AM181" i="25"/>
  <c r="BV181" i="25" s="1"/>
  <c r="AJ240" i="25"/>
  <c r="AM240" i="25"/>
  <c r="CD240" i="25" s="1"/>
  <c r="AM43" i="25"/>
  <c r="BV43" i="25" s="1"/>
  <c r="AJ43" i="25"/>
  <c r="AM101" i="25"/>
  <c r="CD101" i="25" s="1"/>
  <c r="AJ101" i="25"/>
  <c r="AJ223" i="25"/>
  <c r="AM223" i="25"/>
  <c r="AJ100" i="25"/>
  <c r="AM100" i="25"/>
  <c r="CD100" i="25" s="1"/>
  <c r="AS72" i="25"/>
  <c r="AX72" i="25" s="1"/>
  <c r="AJ133" i="25"/>
  <c r="AM133" i="25"/>
  <c r="AJ198" i="25"/>
  <c r="AM198" i="25"/>
  <c r="BV198" i="25" s="1"/>
  <c r="AJ177" i="25"/>
  <c r="AM177" i="25"/>
  <c r="BV177" i="25" s="1"/>
  <c r="AJ227" i="25"/>
  <c r="AM227" i="25"/>
  <c r="CD227" i="25" s="1"/>
  <c r="AM25" i="25"/>
  <c r="BV25" i="25" s="1"/>
  <c r="AJ25" i="25"/>
  <c r="AJ62" i="25"/>
  <c r="AM62" i="25"/>
  <c r="AM37" i="25"/>
  <c r="CD37" i="25" s="1"/>
  <c r="AJ37" i="25"/>
  <c r="AM289" i="25"/>
  <c r="CD289" i="25" s="1"/>
  <c r="AJ289" i="25"/>
  <c r="AM261" i="25"/>
  <c r="CD261" i="25" s="1"/>
  <c r="AJ261" i="25"/>
  <c r="AJ185" i="25"/>
  <c r="AM185" i="25"/>
  <c r="BV185" i="25" s="1"/>
  <c r="AJ119" i="25"/>
  <c r="AM119" i="25"/>
  <c r="BV119" i="25" s="1"/>
  <c r="AM24" i="25"/>
  <c r="BV24" i="25" s="1"/>
  <c r="AJ24" i="25"/>
  <c r="AJ161" i="25"/>
  <c r="AM161" i="25"/>
  <c r="BV161" i="25" s="1"/>
  <c r="AJ280" i="25"/>
  <c r="AM280" i="25"/>
  <c r="CD280" i="25" s="1"/>
  <c r="AM268" i="25"/>
  <c r="AJ268" i="25"/>
  <c r="AJ6" i="25"/>
  <c r="AM6" i="25"/>
  <c r="CD6" i="25" s="1"/>
  <c r="AJ308" i="25"/>
  <c r="AM308" i="25"/>
  <c r="CD308" i="25" s="1"/>
  <c r="AJ12" i="25"/>
  <c r="AM12" i="25"/>
  <c r="CD12" i="25" s="1"/>
  <c r="AS50" i="25"/>
  <c r="AX50" i="25" s="1"/>
  <c r="AS65" i="25"/>
  <c r="AX65" i="25" s="1"/>
  <c r="AM253" i="25"/>
  <c r="CD253" i="25" s="1"/>
  <c r="AJ253" i="25"/>
  <c r="AS75" i="25"/>
  <c r="AX75" i="25" s="1"/>
  <c r="AS84" i="25"/>
  <c r="AX84" i="25" s="1"/>
  <c r="AM79" i="25"/>
  <c r="CD79" i="25" s="1"/>
  <c r="AJ79" i="25"/>
  <c r="AM142" i="25"/>
  <c r="BV142" i="25" s="1"/>
  <c r="AJ142" i="25"/>
  <c r="AM13" i="25"/>
  <c r="AJ13" i="25"/>
  <c r="AS39" i="25"/>
  <c r="AX39" i="25" s="1"/>
  <c r="AJ148" i="25"/>
  <c r="AM148" i="25"/>
  <c r="BV148" i="25" s="1"/>
  <c r="AM36" i="25"/>
  <c r="CD36" i="25" s="1"/>
  <c r="AJ36" i="25"/>
  <c r="AJ274" i="25"/>
  <c r="AM274" i="25"/>
  <c r="CD274" i="25" s="1"/>
  <c r="AM76" i="25"/>
  <c r="CD76" i="25" s="1"/>
  <c r="AJ76" i="25"/>
  <c r="AJ267" i="25"/>
  <c r="AM267" i="25"/>
  <c r="CD267" i="25" s="1"/>
  <c r="AJ195" i="25"/>
  <c r="AM195" i="25"/>
  <c r="BV195" i="25" s="1"/>
  <c r="AJ202" i="25"/>
  <c r="AM202" i="25"/>
  <c r="BV202" i="25" s="1"/>
  <c r="AM130" i="25"/>
  <c r="BV130" i="25" s="1"/>
  <c r="AJ130" i="25"/>
  <c r="AM52" i="25"/>
  <c r="AJ52" i="25"/>
  <c r="AJ179" i="25"/>
  <c r="AM179" i="25"/>
  <c r="BV179" i="25" s="1"/>
  <c r="AJ145" i="25"/>
  <c r="AM145" i="25"/>
  <c r="BV145" i="25" s="1"/>
  <c r="AM46" i="25"/>
  <c r="BV46" i="25" s="1"/>
  <c r="AJ46" i="25"/>
  <c r="AJ183" i="25"/>
  <c r="AM183" i="25"/>
  <c r="BV183" i="25" s="1"/>
  <c r="AJ47" i="25"/>
  <c r="AM47" i="25"/>
  <c r="CD47" i="25" s="1"/>
  <c r="AM19" i="25"/>
  <c r="BF19" i="25" s="1"/>
  <c r="AJ19" i="25"/>
  <c r="AM23" i="25"/>
  <c r="BT23" i="25" s="1"/>
  <c r="AJ23" i="25"/>
  <c r="AJ197" i="25"/>
  <c r="AM197" i="25"/>
  <c r="BV197" i="25" s="1"/>
  <c r="AJ140" i="25"/>
  <c r="AM140" i="25"/>
  <c r="BV140" i="25" s="1"/>
  <c r="AM154" i="25"/>
  <c r="BV154" i="25" s="1"/>
  <c r="AJ154" i="25"/>
  <c r="AJ281" i="25"/>
  <c r="AM281" i="25"/>
  <c r="CD281" i="25" s="1"/>
  <c r="AM187" i="25"/>
  <c r="BV187" i="25" s="1"/>
  <c r="AJ187" i="25"/>
  <c r="AJ247" i="25"/>
  <c r="AM247" i="25"/>
  <c r="CD247" i="25" s="1"/>
  <c r="AS95" i="25"/>
  <c r="AX95" i="25" s="1"/>
  <c r="AJ169" i="25"/>
  <c r="AM169" i="25"/>
  <c r="BV169" i="25" s="1"/>
  <c r="AM137" i="25"/>
  <c r="AJ137" i="25"/>
  <c r="AS99" i="25"/>
  <c r="AX99" i="25" s="1"/>
  <c r="AM60" i="25"/>
  <c r="BV60" i="25" s="1"/>
  <c r="AJ60" i="25"/>
  <c r="AJ220" i="25"/>
  <c r="AM220" i="25"/>
  <c r="AM96" i="25"/>
  <c r="CD96" i="25" s="1"/>
  <c r="AJ96" i="25"/>
  <c r="AJ246" i="25"/>
  <c r="AM246" i="25"/>
  <c r="CD246" i="25" s="1"/>
  <c r="AM54" i="25"/>
  <c r="CD54" i="25" s="1"/>
  <c r="AJ54" i="25"/>
  <c r="AJ83" i="25"/>
  <c r="AM83" i="25"/>
  <c r="CD83" i="25" s="1"/>
  <c r="AJ307" i="25"/>
  <c r="AM307" i="25"/>
  <c r="CD307" i="25" s="1"/>
  <c r="AJ236" i="25"/>
  <c r="AM236" i="25"/>
  <c r="CD236" i="25" s="1"/>
  <c r="AM192" i="25"/>
  <c r="BV192" i="25" s="1"/>
  <c r="AJ192" i="25"/>
  <c r="AJ305" i="25"/>
  <c r="AM305" i="25"/>
  <c r="CD305" i="25" s="1"/>
  <c r="AM203" i="25"/>
  <c r="BV203" i="25" s="1"/>
  <c r="AJ203" i="25"/>
  <c r="AJ284" i="25"/>
  <c r="AM284" i="25"/>
  <c r="CD284" i="25" s="1"/>
  <c r="AJ256" i="25"/>
  <c r="AM256" i="25"/>
  <c r="CD256" i="25" s="1"/>
  <c r="AJ125" i="25"/>
  <c r="AM125" i="25"/>
  <c r="BV125" i="25" s="1"/>
  <c r="AJ21" i="25"/>
  <c r="AM21" i="25"/>
  <c r="CD21" i="25" s="1"/>
  <c r="AJ306" i="25"/>
  <c r="AM306" i="25"/>
  <c r="CD306" i="25" s="1"/>
  <c r="AJ40" i="25"/>
  <c r="AM40" i="25"/>
  <c r="AM283" i="25"/>
  <c r="CD283" i="25" s="1"/>
  <c r="AJ283" i="25"/>
  <c r="AS74" i="25"/>
  <c r="AX74" i="25" s="1"/>
  <c r="AJ167" i="25"/>
  <c r="AM167" i="25"/>
  <c r="BV167" i="25" s="1"/>
  <c r="AM86" i="25"/>
  <c r="CD86" i="25" s="1"/>
  <c r="AJ86" i="25"/>
  <c r="AJ316" i="25"/>
  <c r="AM316" i="25"/>
  <c r="CD316" i="25" s="1"/>
  <c r="AM8" i="25"/>
  <c r="BV8" i="25" s="1"/>
  <c r="AJ8" i="25"/>
  <c r="AM201" i="25"/>
  <c r="BV201" i="25" s="1"/>
  <c r="AJ201" i="25"/>
  <c r="AJ235" i="25"/>
  <c r="AM235" i="25"/>
  <c r="AM118" i="25"/>
  <c r="BV118" i="25" s="1"/>
  <c r="AJ118" i="25"/>
  <c r="AM207" i="25"/>
  <c r="BV207" i="25" s="1"/>
  <c r="AJ207" i="25"/>
  <c r="AJ226" i="25"/>
  <c r="AM226" i="25"/>
  <c r="AJ48" i="25"/>
  <c r="AM48" i="25"/>
  <c r="CD48" i="25" s="1"/>
  <c r="AJ209" i="25"/>
  <c r="AM209" i="25"/>
  <c r="BV209" i="25" s="1"/>
  <c r="AJ243" i="25"/>
  <c r="AM243" i="25"/>
  <c r="CD243" i="25" s="1"/>
  <c r="AM230" i="25"/>
  <c r="CD230" i="25" s="1"/>
  <c r="AJ230" i="25"/>
  <c r="AM88" i="25"/>
  <c r="AJ88" i="25"/>
  <c r="AM199" i="25"/>
  <c r="BV199" i="25" s="1"/>
  <c r="AJ199" i="25"/>
  <c r="AM30" i="25"/>
  <c r="BV30" i="25" s="1"/>
  <c r="AJ30" i="25"/>
  <c r="AJ248" i="25"/>
  <c r="AM248" i="25"/>
  <c r="AM68" i="25"/>
  <c r="AJ68" i="25"/>
  <c r="AM82" i="25"/>
  <c r="CD82" i="25" s="1"/>
  <c r="AJ82" i="25"/>
  <c r="AM73" i="25"/>
  <c r="CD73" i="25" s="1"/>
  <c r="AJ73" i="25"/>
  <c r="AM190" i="25"/>
  <c r="BV190" i="25" s="1"/>
  <c r="AJ190" i="25"/>
  <c r="AJ238" i="25"/>
  <c r="AM238" i="25"/>
  <c r="CD238" i="25" s="1"/>
  <c r="AJ172" i="25"/>
  <c r="AM172" i="25"/>
  <c r="BV172" i="25" s="1"/>
  <c r="AM298" i="25"/>
  <c r="CD298" i="25" s="1"/>
  <c r="AJ298" i="25"/>
  <c r="AJ163" i="25"/>
  <c r="AM163" i="25"/>
  <c r="BV163" i="25" s="1"/>
  <c r="AM255" i="25"/>
  <c r="CD255" i="25" s="1"/>
  <c r="AJ255" i="25"/>
  <c r="AM134" i="25"/>
  <c r="BV134" i="25" s="1"/>
  <c r="AJ134" i="25"/>
  <c r="AJ299" i="25"/>
  <c r="AM299" i="25"/>
  <c r="CD299" i="25" s="1"/>
  <c r="AJ175" i="25"/>
  <c r="AM175" i="25"/>
  <c r="BV175" i="25" s="1"/>
  <c r="AM225" i="25"/>
  <c r="CD225" i="25" s="1"/>
  <c r="AJ225" i="25"/>
  <c r="AM237" i="25"/>
  <c r="AJ237" i="25"/>
  <c r="AJ205" i="25"/>
  <c r="AM205" i="25"/>
  <c r="BV205" i="25" s="1"/>
  <c r="AM147" i="25"/>
  <c r="BV147" i="25" s="1"/>
  <c r="AJ147" i="25"/>
  <c r="AS55" i="25"/>
  <c r="AX55" i="25" s="1"/>
  <c r="AS32" i="25"/>
  <c r="AX32" i="25" s="1"/>
  <c r="AJ262" i="25"/>
  <c r="AM262" i="25"/>
  <c r="AS7" i="25"/>
  <c r="AX7" i="25" s="1"/>
  <c r="AM146" i="25"/>
  <c r="BV146" i="25" s="1"/>
  <c r="AJ146" i="25"/>
  <c r="AM77" i="25"/>
  <c r="BF77" i="25" s="1"/>
  <c r="AJ77" i="25"/>
  <c r="AM63" i="25"/>
  <c r="AJ63" i="25"/>
  <c r="AJ27" i="25"/>
  <c r="AM27" i="25"/>
  <c r="BV27" i="25" s="1"/>
  <c r="AJ80" i="25"/>
  <c r="AM80" i="25"/>
  <c r="BV80" i="25" s="1"/>
  <c r="AM301" i="25"/>
  <c r="CD301" i="25" s="1"/>
  <c r="AJ301" i="25"/>
  <c r="AJ231" i="25"/>
  <c r="AM231" i="25"/>
  <c r="AM50" i="25"/>
  <c r="BV50" i="25" s="1"/>
  <c r="AJ50" i="25"/>
  <c r="AJ304" i="25"/>
  <c r="AM304" i="25"/>
  <c r="CD304" i="25" s="1"/>
  <c r="AM33" i="25"/>
  <c r="BV33" i="25" s="1"/>
  <c r="AJ33" i="25"/>
  <c r="AM124" i="25"/>
  <c r="AJ124" i="25"/>
  <c r="AM300" i="25"/>
  <c r="CD300" i="25" s="1"/>
  <c r="AJ300" i="25"/>
  <c r="AM232" i="25"/>
  <c r="AJ232" i="25"/>
  <c r="AM123" i="25"/>
  <c r="BV123" i="25" s="1"/>
  <c r="AJ123" i="25"/>
  <c r="AJ164" i="25"/>
  <c r="AM164" i="25"/>
  <c r="BV164" i="25" s="1"/>
  <c r="AM219" i="25"/>
  <c r="AJ219" i="25"/>
  <c r="AJ91" i="25"/>
  <c r="AM91" i="25"/>
  <c r="AJ312" i="25"/>
  <c r="AM312" i="25"/>
  <c r="CD312" i="25" s="1"/>
  <c r="AJ193" i="25"/>
  <c r="AM193" i="25"/>
  <c r="BV193" i="25" s="1"/>
  <c r="AS85" i="25"/>
  <c r="AX85" i="25" s="1"/>
  <c r="AS77" i="25"/>
  <c r="AX77" i="25" s="1"/>
  <c r="AJ206" i="25"/>
  <c r="AM206" i="25"/>
  <c r="BV206" i="25" s="1"/>
  <c r="AM294" i="25"/>
  <c r="CD294" i="25" s="1"/>
  <c r="AJ294" i="25"/>
  <c r="AM292" i="25"/>
  <c r="CD292" i="25" s="1"/>
  <c r="AJ292" i="25"/>
  <c r="AM42" i="25"/>
  <c r="CD42" i="25" s="1"/>
  <c r="AJ42" i="25"/>
  <c r="AJ44" i="25"/>
  <c r="AM44" i="25"/>
  <c r="CD44" i="25" s="1"/>
  <c r="AM94" i="25"/>
  <c r="CD94" i="25" s="1"/>
  <c r="AJ94" i="25"/>
  <c r="AM315" i="25"/>
  <c r="CD315" i="25" s="1"/>
  <c r="AJ315" i="25"/>
  <c r="AJ111" i="25"/>
  <c r="AM111" i="25"/>
  <c r="BV111" i="25" s="1"/>
  <c r="AM204" i="25"/>
  <c r="BV204" i="25" s="1"/>
  <c r="AJ204" i="25"/>
  <c r="AJ132" i="25"/>
  <c r="AM132" i="25"/>
  <c r="BV132" i="25" s="1"/>
  <c r="AK74" i="24"/>
  <c r="AK83" i="24"/>
  <c r="AT10" i="24"/>
  <c r="BA10" i="24" s="1"/>
  <c r="AT36" i="24"/>
  <c r="BA36" i="24" s="1"/>
  <c r="AT78" i="24"/>
  <c r="BA78" i="24" s="1"/>
  <c r="AT95" i="24"/>
  <c r="BA95" i="24" s="1"/>
  <c r="AT104" i="24"/>
  <c r="BA104" i="24" s="1"/>
  <c r="AT27" i="24"/>
  <c r="BA27" i="24" s="1"/>
  <c r="AK292" i="24"/>
  <c r="AK315" i="24"/>
  <c r="AK245" i="24"/>
  <c r="AK304" i="24"/>
  <c r="AK180" i="24"/>
  <c r="AN180" i="24"/>
  <c r="AK197" i="24"/>
  <c r="AN197" i="24"/>
  <c r="BH197" i="24" s="1"/>
  <c r="AN175" i="24"/>
  <c r="CD175" i="24" s="1"/>
  <c r="AK175" i="24"/>
  <c r="AK178" i="24"/>
  <c r="AN178" i="24"/>
  <c r="AK127" i="24"/>
  <c r="AN127" i="24"/>
  <c r="BT127" i="24" s="1"/>
  <c r="AK200" i="24"/>
  <c r="AN200" i="24"/>
  <c r="AK124" i="24"/>
  <c r="AN124" i="24"/>
  <c r="AK138" i="24"/>
  <c r="AN138" i="24"/>
  <c r="CD138" i="24" s="1"/>
  <c r="AK129" i="24"/>
  <c r="AN129" i="24"/>
  <c r="AN135" i="24"/>
  <c r="CD135" i="24" s="1"/>
  <c r="AK135" i="24"/>
  <c r="AK173" i="24"/>
  <c r="AN173" i="24"/>
  <c r="AK118" i="24"/>
  <c r="AN118" i="24"/>
  <c r="AN164" i="24"/>
  <c r="AK164" i="24"/>
  <c r="AK121" i="24"/>
  <c r="AN121" i="24"/>
  <c r="BT121" i="24" s="1"/>
  <c r="AK202" i="24"/>
  <c r="AN202" i="24"/>
  <c r="AN300" i="24"/>
  <c r="AN111" i="24"/>
  <c r="AX111" i="24" s="1"/>
  <c r="AK111" i="24"/>
  <c r="AK160" i="24"/>
  <c r="AN160" i="24"/>
  <c r="AN126" i="24"/>
  <c r="AK126" i="24"/>
  <c r="AN140" i="24"/>
  <c r="AK140" i="24"/>
  <c r="AN292" i="24"/>
  <c r="AK316" i="24"/>
  <c r="AK230" i="24"/>
  <c r="AN316" i="24"/>
  <c r="AN245" i="24"/>
  <c r="CD245" i="24" s="1"/>
  <c r="AN315" i="24"/>
  <c r="CD315" i="24" s="1"/>
  <c r="AN222" i="24"/>
  <c r="AK222" i="24"/>
  <c r="AK224" i="24"/>
  <c r="AN224" i="24"/>
  <c r="CD224" i="24" s="1"/>
  <c r="AN216" i="24"/>
  <c r="AK216" i="24"/>
  <c r="AN247" i="24"/>
  <c r="AK247" i="24"/>
  <c r="AK264" i="24"/>
  <c r="AN264" i="24"/>
  <c r="AK285" i="24"/>
  <c r="AN285" i="24"/>
  <c r="CD285" i="24" s="1"/>
  <c r="AK221" i="24"/>
  <c r="AN221" i="24"/>
  <c r="AK250" i="24"/>
  <c r="AN250" i="24"/>
  <c r="CD250" i="24" s="1"/>
  <c r="AK307" i="24"/>
  <c r="AN307" i="24"/>
  <c r="CD307" i="24" s="1"/>
  <c r="AK235" i="24"/>
  <c r="AN235" i="24"/>
  <c r="AN223" i="24"/>
  <c r="AK223" i="24"/>
  <c r="AN302" i="24"/>
  <c r="CD302" i="24" s="1"/>
  <c r="AK302" i="24"/>
  <c r="AK266" i="24"/>
  <c r="AN266" i="24"/>
  <c r="AN274" i="24"/>
  <c r="CD274" i="24" s="1"/>
  <c r="AK274" i="24"/>
  <c r="AK275" i="24"/>
  <c r="AN275" i="24"/>
  <c r="CD275" i="24" s="1"/>
  <c r="AN297" i="24"/>
  <c r="AK297" i="24"/>
  <c r="AN279" i="24"/>
  <c r="CD279" i="24" s="1"/>
  <c r="AK279" i="24"/>
  <c r="AN259" i="24"/>
  <c r="CD259" i="24" s="1"/>
  <c r="AK259" i="24"/>
  <c r="AK236" i="24"/>
  <c r="AN236" i="24"/>
  <c r="CD236" i="24" s="1"/>
  <c r="AN288" i="24"/>
  <c r="AK288" i="24"/>
  <c r="AK256" i="24"/>
  <c r="AN256" i="24"/>
  <c r="CD256" i="24" s="1"/>
  <c r="AK258" i="24"/>
  <c r="AN258" i="24"/>
  <c r="AK233" i="24"/>
  <c r="AN233" i="24"/>
  <c r="CD233" i="24" s="1"/>
  <c r="AN314" i="24"/>
  <c r="CD314" i="24" s="1"/>
  <c r="AK273" i="24"/>
  <c r="AN273" i="24"/>
  <c r="CD273" i="24" s="1"/>
  <c r="AN243" i="24"/>
  <c r="AK243" i="24"/>
  <c r="AN220" i="24"/>
  <c r="AK220" i="24"/>
  <c r="AN228" i="24"/>
  <c r="AK228" i="24"/>
  <c r="AK229" i="24"/>
  <c r="AN229" i="24"/>
  <c r="AK310" i="24"/>
  <c r="AN310" i="24"/>
  <c r="AN287" i="24"/>
  <c r="CD287" i="24" s="1"/>
  <c r="AK287" i="24"/>
  <c r="AN218" i="24"/>
  <c r="AK218" i="24"/>
  <c r="AK294" i="24"/>
  <c r="AN294" i="24"/>
  <c r="CD294" i="24" s="1"/>
  <c r="AK271" i="24"/>
  <c r="AN271" i="24"/>
  <c r="AK227" i="24"/>
  <c r="AN227" i="24"/>
  <c r="CD227" i="24" s="1"/>
  <c r="AN251" i="24"/>
  <c r="CD251" i="24" s="1"/>
  <c r="AK251" i="24"/>
  <c r="AN293" i="24"/>
  <c r="CD293" i="24" s="1"/>
  <c r="AK293" i="24"/>
  <c r="AK241" i="24"/>
  <c r="AN241" i="24"/>
  <c r="AK219" i="24"/>
  <c r="AN219" i="24"/>
  <c r="CD219" i="24" s="1"/>
  <c r="AK234" i="24"/>
  <c r="AN234" i="24"/>
  <c r="CD234" i="24" s="1"/>
  <c r="AK254" i="24"/>
  <c r="AN254" i="24"/>
  <c r="AN286" i="24"/>
  <c r="CD286" i="24" s="1"/>
  <c r="AK286" i="24"/>
  <c r="AK300" i="24"/>
  <c r="AK309" i="24"/>
  <c r="AN309" i="24"/>
  <c r="CD309" i="24" s="1"/>
  <c r="AK303" i="24"/>
  <c r="AN303" i="24"/>
  <c r="CD303" i="24" s="1"/>
  <c r="AN301" i="24"/>
  <c r="AK301" i="24"/>
  <c r="AN268" i="24"/>
  <c r="CD268" i="24" s="1"/>
  <c r="AK268" i="24"/>
  <c r="AK239" i="24"/>
  <c r="AN239" i="24"/>
  <c r="AK240" i="24"/>
  <c r="AN240" i="24"/>
  <c r="CD240" i="24" s="1"/>
  <c r="AN304" i="24"/>
  <c r="CD304" i="24" s="1"/>
  <c r="AK314" i="24"/>
  <c r="AN272" i="24"/>
  <c r="AK272" i="24"/>
  <c r="AN230" i="24"/>
  <c r="CD230" i="24" s="1"/>
  <c r="BQ106" i="19"/>
  <c r="BV71" i="25" l="1"/>
  <c r="CD71" i="25"/>
  <c r="AK203" i="24"/>
  <c r="AK181" i="24"/>
  <c r="BT85" i="25"/>
  <c r="CD85" i="25"/>
  <c r="AX202" i="25"/>
  <c r="BV41" i="25"/>
  <c r="CD41" i="25"/>
  <c r="BV124" i="25"/>
  <c r="CD124" i="25"/>
  <c r="BV133" i="25"/>
  <c r="CD133" i="25"/>
  <c r="Y212" i="24"/>
  <c r="AE212" i="24"/>
  <c r="X212" i="24"/>
  <c r="AA212" i="24" s="1"/>
  <c r="AB212" i="24" s="1"/>
  <c r="AC212" i="24" s="1"/>
  <c r="AI212" i="24"/>
  <c r="BV62" i="25"/>
  <c r="CD62" i="25"/>
  <c r="BV13" i="25"/>
  <c r="CD13" i="25"/>
  <c r="BV117" i="25"/>
  <c r="CD117" i="25"/>
  <c r="BT57" i="25"/>
  <c r="CD57" i="25"/>
  <c r="BV137" i="25"/>
  <c r="CD137" i="25"/>
  <c r="BV131" i="25"/>
  <c r="CD131" i="25"/>
  <c r="AX100" i="24"/>
  <c r="CD100" i="24"/>
  <c r="BV88" i="25"/>
  <c r="CD88" i="25"/>
  <c r="BV158" i="24"/>
  <c r="CD158" i="24"/>
  <c r="AK306" i="24"/>
  <c r="BV91" i="25"/>
  <c r="CD91" i="25"/>
  <c r="BV162" i="25"/>
  <c r="CD162" i="25"/>
  <c r="BV56" i="25"/>
  <c r="CD56" i="25"/>
  <c r="BV68" i="25"/>
  <c r="CD68" i="25"/>
  <c r="AW144" i="25"/>
  <c r="AX191" i="25"/>
  <c r="BV31" i="25"/>
  <c r="CD31" i="25"/>
  <c r="BV52" i="25"/>
  <c r="CD52" i="25"/>
  <c r="BV40" i="25"/>
  <c r="CD40" i="25"/>
  <c r="BV63" i="25"/>
  <c r="CD63" i="25"/>
  <c r="AX181" i="25"/>
  <c r="AW114" i="25"/>
  <c r="AX184" i="25"/>
  <c r="AW127" i="25"/>
  <c r="AX135" i="25"/>
  <c r="AX146" i="25"/>
  <c r="AW118" i="25"/>
  <c r="BT89" i="25"/>
  <c r="CD89" i="25"/>
  <c r="AW160" i="25"/>
  <c r="AW134" i="25"/>
  <c r="AW138" i="25"/>
  <c r="AW172" i="25"/>
  <c r="AX112" i="25"/>
  <c r="AW143" i="25"/>
  <c r="AW115" i="25"/>
  <c r="AW145" i="25"/>
  <c r="AW186" i="25"/>
  <c r="BV135" i="25"/>
  <c r="CD135" i="25"/>
  <c r="AX164" i="25"/>
  <c r="AW116" i="25"/>
  <c r="AX190" i="25"/>
  <c r="AW157" i="25"/>
  <c r="AX168" i="25"/>
  <c r="AW177" i="25"/>
  <c r="AX129" i="25"/>
  <c r="AX179" i="25"/>
  <c r="AW165" i="25"/>
  <c r="AW173" i="25"/>
  <c r="AX207" i="25"/>
  <c r="AW167" i="25"/>
  <c r="AW155" i="25"/>
  <c r="AW141" i="25"/>
  <c r="AX148" i="25"/>
  <c r="AX205" i="25"/>
  <c r="AX178" i="25"/>
  <c r="AX208" i="25"/>
  <c r="AW110" i="25"/>
  <c r="AW147" i="25"/>
  <c r="AW111" i="25"/>
  <c r="AW152" i="25"/>
  <c r="AX121" i="25"/>
  <c r="AW192" i="25"/>
  <c r="AX153" i="25"/>
  <c r="AW174" i="25"/>
  <c r="AW188" i="25"/>
  <c r="AX166" i="25"/>
  <c r="AX131" i="25"/>
  <c r="AW203" i="25"/>
  <c r="AX201" i="25"/>
  <c r="AW113" i="25"/>
  <c r="AX185" i="25"/>
  <c r="BV100" i="25"/>
  <c r="AW139" i="25"/>
  <c r="AW196" i="25"/>
  <c r="AX123" i="25"/>
  <c r="BV79" i="25"/>
  <c r="BV34" i="25"/>
  <c r="BV64" i="25"/>
  <c r="BV104" i="25"/>
  <c r="BV20" i="25"/>
  <c r="AX206" i="25"/>
  <c r="AW209" i="25"/>
  <c r="AX198" i="25"/>
  <c r="BV51" i="25"/>
  <c r="BV7" i="25"/>
  <c r="AW204" i="25"/>
  <c r="AX120" i="25"/>
  <c r="AW194" i="25"/>
  <c r="BV48" i="25"/>
  <c r="AW133" i="25"/>
  <c r="AW158" i="25"/>
  <c r="AW140" i="25"/>
  <c r="AW117" i="25"/>
  <c r="AW193" i="25"/>
  <c r="AW142" i="25"/>
  <c r="AW171" i="25"/>
  <c r="AW136" i="25"/>
  <c r="AW187" i="25"/>
  <c r="AX156" i="25"/>
  <c r="AX169" i="25"/>
  <c r="AX163" i="25"/>
  <c r="BV70" i="25"/>
  <c r="BV83" i="25"/>
  <c r="BV105" i="25"/>
  <c r="BV87" i="25"/>
  <c r="AW151" i="25"/>
  <c r="BV53" i="25"/>
  <c r="AW175" i="25"/>
  <c r="AW150" i="25"/>
  <c r="BV94" i="25"/>
  <c r="BV96" i="25"/>
  <c r="BV54" i="25"/>
  <c r="BV26" i="25"/>
  <c r="BV67" i="25"/>
  <c r="BV10" i="25"/>
  <c r="BV14" i="25"/>
  <c r="BV17" i="25"/>
  <c r="BV57" i="25"/>
  <c r="AW159" i="25"/>
  <c r="AW119" i="25"/>
  <c r="AW200" i="25"/>
  <c r="AW180" i="25"/>
  <c r="AW154" i="25"/>
  <c r="AW182" i="25"/>
  <c r="AW183" i="25"/>
  <c r="AW130" i="25"/>
  <c r="AW199" i="25"/>
  <c r="AW125" i="25"/>
  <c r="AW197" i="25"/>
  <c r="AW195" i="25"/>
  <c r="AW176" i="25"/>
  <c r="AW126" i="25"/>
  <c r="AW189" i="25"/>
  <c r="AW170" i="25"/>
  <c r="AW122" i="25"/>
  <c r="AW210" i="25"/>
  <c r="AW162" i="25"/>
  <c r="AW128" i="25"/>
  <c r="AW149" i="25"/>
  <c r="AW161" i="25"/>
  <c r="AW132" i="25"/>
  <c r="AW124" i="25"/>
  <c r="AW137" i="25"/>
  <c r="BV101" i="25"/>
  <c r="BV21" i="25"/>
  <c r="BV92" i="25"/>
  <c r="BV49" i="25"/>
  <c r="BV45" i="25"/>
  <c r="BV93" i="25"/>
  <c r="BV19" i="25"/>
  <c r="BV85" i="25"/>
  <c r="BV103" i="25"/>
  <c r="BV102" i="25"/>
  <c r="BV38" i="25"/>
  <c r="BV77" i="25"/>
  <c r="BV61" i="25"/>
  <c r="BV47" i="25"/>
  <c r="BV29" i="25"/>
  <c r="BV89" i="25"/>
  <c r="BV37" i="25"/>
  <c r="BV78" i="25"/>
  <c r="BV42" i="25"/>
  <c r="BV76" i="25"/>
  <c r="BV6" i="25"/>
  <c r="BV18" i="25"/>
  <c r="BV99" i="25"/>
  <c r="BV86" i="25"/>
  <c r="BV44" i="25"/>
  <c r="BV97" i="25"/>
  <c r="BV12" i="25"/>
  <c r="BV81" i="25"/>
  <c r="BV173" i="25"/>
  <c r="BV73" i="25"/>
  <c r="BV36" i="25"/>
  <c r="BV16" i="25"/>
  <c r="BV23" i="25"/>
  <c r="BV69" i="25"/>
  <c r="BV59" i="25"/>
  <c r="BV82" i="25"/>
  <c r="BV66" i="25"/>
  <c r="BV151" i="24"/>
  <c r="CD206" i="25"/>
  <c r="BF206" i="25"/>
  <c r="BT206" i="25"/>
  <c r="BG206" i="25"/>
  <c r="BH206" i="25"/>
  <c r="CD193" i="25"/>
  <c r="BG193" i="25"/>
  <c r="BH193" i="25"/>
  <c r="BF193" i="25"/>
  <c r="BT193" i="25"/>
  <c r="CD164" i="25"/>
  <c r="BH164" i="25"/>
  <c r="BG164" i="25"/>
  <c r="BT164" i="25"/>
  <c r="BF164" i="25"/>
  <c r="CD147" i="25"/>
  <c r="BF147" i="25"/>
  <c r="BG147" i="25"/>
  <c r="BT147" i="25"/>
  <c r="BH147" i="25"/>
  <c r="CD134" i="25"/>
  <c r="BG134" i="25"/>
  <c r="BT134" i="25"/>
  <c r="BH134" i="25"/>
  <c r="BF134" i="25"/>
  <c r="CD190" i="25"/>
  <c r="BF190" i="25"/>
  <c r="BT190" i="25"/>
  <c r="BG190" i="25"/>
  <c r="BH190" i="25"/>
  <c r="CD199" i="25"/>
  <c r="BF199" i="25"/>
  <c r="BG199" i="25"/>
  <c r="BT199" i="25"/>
  <c r="BH199" i="25"/>
  <c r="BF118" i="25"/>
  <c r="BT118" i="25"/>
  <c r="BG118" i="25"/>
  <c r="BH118" i="25"/>
  <c r="CD201" i="25"/>
  <c r="BT201" i="25"/>
  <c r="BF201" i="25"/>
  <c r="BG201" i="25"/>
  <c r="BH201" i="25"/>
  <c r="BG137" i="25"/>
  <c r="BT137" i="25"/>
  <c r="BF137" i="25"/>
  <c r="BH137" i="25"/>
  <c r="CD140" i="25"/>
  <c r="BG140" i="25"/>
  <c r="BT140" i="25"/>
  <c r="BH140" i="25"/>
  <c r="BF140" i="25"/>
  <c r="CD179" i="25"/>
  <c r="BF179" i="25"/>
  <c r="BT179" i="25"/>
  <c r="BG179" i="25"/>
  <c r="BH179" i="25"/>
  <c r="CD195" i="25"/>
  <c r="BH195" i="25"/>
  <c r="BF195" i="25"/>
  <c r="BG195" i="25"/>
  <c r="BT195" i="25"/>
  <c r="CD142" i="25"/>
  <c r="BF142" i="25"/>
  <c r="BT142" i="25"/>
  <c r="BG142" i="25"/>
  <c r="BH142" i="25"/>
  <c r="CD181" i="25"/>
  <c r="BG181" i="25"/>
  <c r="BT181" i="25"/>
  <c r="BH181" i="25"/>
  <c r="BF181" i="25"/>
  <c r="BF120" i="25"/>
  <c r="BH120" i="25"/>
  <c r="BG120" i="25"/>
  <c r="BT120" i="25"/>
  <c r="CD176" i="25"/>
  <c r="BG176" i="25"/>
  <c r="BH176" i="25"/>
  <c r="BF176" i="25"/>
  <c r="BT176" i="25"/>
  <c r="CD188" i="25"/>
  <c r="BF188" i="25"/>
  <c r="BH188" i="25"/>
  <c r="BG188" i="25"/>
  <c r="BT188" i="25"/>
  <c r="BF114" i="25"/>
  <c r="BT114" i="25"/>
  <c r="BH114" i="25"/>
  <c r="BG114" i="25"/>
  <c r="CD129" i="25"/>
  <c r="BH129" i="25"/>
  <c r="BG129" i="25"/>
  <c r="BT129" i="25"/>
  <c r="BF129" i="25"/>
  <c r="CD200" i="25"/>
  <c r="BF200" i="25"/>
  <c r="BH200" i="25"/>
  <c r="BG200" i="25"/>
  <c r="BT200" i="25"/>
  <c r="CD166" i="25"/>
  <c r="BH166" i="25"/>
  <c r="BT166" i="25"/>
  <c r="BF166" i="25"/>
  <c r="BG166" i="25"/>
  <c r="CD196" i="25"/>
  <c r="BH196" i="25"/>
  <c r="BF196" i="25"/>
  <c r="BG196" i="25"/>
  <c r="BT196" i="25"/>
  <c r="CD170" i="25"/>
  <c r="BG170" i="25"/>
  <c r="BT170" i="25"/>
  <c r="BH170" i="25"/>
  <c r="BF170" i="25"/>
  <c r="BG131" i="25"/>
  <c r="BH131" i="25"/>
  <c r="BF131" i="25"/>
  <c r="BT131" i="25"/>
  <c r="CD139" i="25"/>
  <c r="BT139" i="25"/>
  <c r="BF139" i="25"/>
  <c r="BG139" i="25"/>
  <c r="BH139" i="25"/>
  <c r="CD180" i="25"/>
  <c r="BG180" i="25"/>
  <c r="BH180" i="25"/>
  <c r="BT180" i="25"/>
  <c r="BF180" i="25"/>
  <c r="BH113" i="25"/>
  <c r="BG113" i="25"/>
  <c r="BT113" i="25"/>
  <c r="BF113" i="25"/>
  <c r="CD116" i="25"/>
  <c r="BH116" i="25"/>
  <c r="BF116" i="25"/>
  <c r="BT116" i="25"/>
  <c r="BG116" i="25"/>
  <c r="CD156" i="25"/>
  <c r="BH156" i="25"/>
  <c r="BG156" i="25"/>
  <c r="BT156" i="25"/>
  <c r="BF156" i="25"/>
  <c r="CD204" i="25"/>
  <c r="BF204" i="25"/>
  <c r="BG204" i="25"/>
  <c r="BT204" i="25"/>
  <c r="BH204" i="25"/>
  <c r="BG124" i="25"/>
  <c r="BT124" i="25"/>
  <c r="BH124" i="25"/>
  <c r="BF124" i="25"/>
  <c r="CD146" i="25"/>
  <c r="BF146" i="25"/>
  <c r="BG146" i="25"/>
  <c r="BH146" i="25"/>
  <c r="BT146" i="25"/>
  <c r="CD205" i="25"/>
  <c r="BF205" i="25"/>
  <c r="BG205" i="25"/>
  <c r="BT205" i="25"/>
  <c r="BH205" i="25"/>
  <c r="CD203" i="25"/>
  <c r="BF203" i="25"/>
  <c r="BT203" i="25"/>
  <c r="BG203" i="25"/>
  <c r="BH203" i="25"/>
  <c r="CD192" i="25"/>
  <c r="BF192" i="25"/>
  <c r="BG192" i="25"/>
  <c r="BT192" i="25"/>
  <c r="BH192" i="25"/>
  <c r="CD169" i="25"/>
  <c r="BG169" i="25"/>
  <c r="BH169" i="25"/>
  <c r="BF169" i="25"/>
  <c r="BT169" i="25"/>
  <c r="CD130" i="25"/>
  <c r="BF130" i="25"/>
  <c r="BG130" i="25"/>
  <c r="BT130" i="25"/>
  <c r="BH130" i="25"/>
  <c r="CD185" i="25"/>
  <c r="BH185" i="25"/>
  <c r="BF185" i="25"/>
  <c r="BG185" i="25"/>
  <c r="BT185" i="25"/>
  <c r="CD198" i="25"/>
  <c r="BF198" i="25"/>
  <c r="BG198" i="25"/>
  <c r="BT198" i="25"/>
  <c r="BH198" i="25"/>
  <c r="CD168" i="25"/>
  <c r="BF168" i="25"/>
  <c r="BG168" i="25"/>
  <c r="BH168" i="25"/>
  <c r="BT168" i="25"/>
  <c r="CD115" i="25"/>
  <c r="BF115" i="25"/>
  <c r="BG115" i="25"/>
  <c r="BT115" i="25"/>
  <c r="BH115" i="25"/>
  <c r="BF117" i="25"/>
  <c r="BG117" i="25"/>
  <c r="BH117" i="25"/>
  <c r="BT117" i="25"/>
  <c r="CD208" i="25"/>
  <c r="BG208" i="25"/>
  <c r="BF208" i="25"/>
  <c r="BH208" i="25"/>
  <c r="BT208" i="25"/>
  <c r="CD128" i="25"/>
  <c r="BH128" i="25"/>
  <c r="BF128" i="25"/>
  <c r="BT128" i="25"/>
  <c r="BG128" i="25"/>
  <c r="CD150" i="25"/>
  <c r="BG150" i="25"/>
  <c r="BH150" i="25"/>
  <c r="BT150" i="25"/>
  <c r="BF150" i="25"/>
  <c r="CD151" i="25"/>
  <c r="BF151" i="25"/>
  <c r="BT151" i="25"/>
  <c r="BG151" i="25"/>
  <c r="BH151" i="25"/>
  <c r="CD184" i="25"/>
  <c r="BH184" i="25"/>
  <c r="BT184" i="25"/>
  <c r="BG184" i="25"/>
  <c r="BF184" i="25"/>
  <c r="CD186" i="25"/>
  <c r="BH186" i="25"/>
  <c r="BT186" i="25"/>
  <c r="BF186" i="25"/>
  <c r="BG186" i="25"/>
  <c r="CD194" i="25"/>
  <c r="BH194" i="25"/>
  <c r="BT194" i="25"/>
  <c r="BF194" i="25"/>
  <c r="BG194" i="25"/>
  <c r="CD210" i="25"/>
  <c r="BF210" i="25"/>
  <c r="BT210" i="25"/>
  <c r="BG210" i="25"/>
  <c r="BH210" i="25"/>
  <c r="CD157" i="25"/>
  <c r="BF157" i="25"/>
  <c r="BG157" i="25"/>
  <c r="BH157" i="25"/>
  <c r="BT157" i="25"/>
  <c r="CD174" i="25"/>
  <c r="BF174" i="25"/>
  <c r="BH174" i="25"/>
  <c r="BG174" i="25"/>
  <c r="BT174" i="25"/>
  <c r="CD132" i="25"/>
  <c r="BF132" i="25"/>
  <c r="BG132" i="25"/>
  <c r="BH132" i="25"/>
  <c r="BT132" i="25"/>
  <c r="CD111" i="25"/>
  <c r="BF111" i="25"/>
  <c r="BT111" i="25"/>
  <c r="BG111" i="25"/>
  <c r="BH111" i="25"/>
  <c r="CD207" i="25"/>
  <c r="BF207" i="25"/>
  <c r="BH207" i="25"/>
  <c r="BT207" i="25"/>
  <c r="BG207" i="25"/>
  <c r="CD125" i="25"/>
  <c r="BH125" i="25"/>
  <c r="BG125" i="25"/>
  <c r="BT125" i="25"/>
  <c r="BF125" i="25"/>
  <c r="CD197" i="25"/>
  <c r="BH197" i="25"/>
  <c r="BT197" i="25"/>
  <c r="BG197" i="25"/>
  <c r="BF197" i="25"/>
  <c r="CD183" i="25"/>
  <c r="BG183" i="25"/>
  <c r="BH183" i="25"/>
  <c r="BF183" i="25"/>
  <c r="BT183" i="25"/>
  <c r="CD145" i="25"/>
  <c r="BH145" i="25"/>
  <c r="BF145" i="25"/>
  <c r="BG145" i="25"/>
  <c r="BT145" i="25"/>
  <c r="CD202" i="25"/>
  <c r="BF202" i="25"/>
  <c r="BG202" i="25"/>
  <c r="BT202" i="25"/>
  <c r="BH202" i="25"/>
  <c r="CD148" i="25"/>
  <c r="BH148" i="25"/>
  <c r="BF148" i="25"/>
  <c r="BT148" i="25"/>
  <c r="BG148" i="25"/>
  <c r="CD141" i="25"/>
  <c r="BH141" i="25"/>
  <c r="BF141" i="25"/>
  <c r="BG141" i="25"/>
  <c r="BT141" i="25"/>
  <c r="CD149" i="25"/>
  <c r="BH149" i="25"/>
  <c r="BT149" i="25"/>
  <c r="BF149" i="25"/>
  <c r="BG149" i="25"/>
  <c r="CD126" i="25"/>
  <c r="BF126" i="25"/>
  <c r="BT126" i="25"/>
  <c r="BG126" i="25"/>
  <c r="BH126" i="25"/>
  <c r="CD165" i="25"/>
  <c r="BG165" i="25"/>
  <c r="BT165" i="25"/>
  <c r="BF165" i="25"/>
  <c r="BH165" i="25"/>
  <c r="CD152" i="25"/>
  <c r="BF152" i="25"/>
  <c r="BT152" i="25"/>
  <c r="BG152" i="25"/>
  <c r="BH152" i="25"/>
  <c r="CD158" i="25"/>
  <c r="BH158" i="25"/>
  <c r="BT158" i="25"/>
  <c r="BF158" i="25"/>
  <c r="BG158" i="25"/>
  <c r="CD121" i="25"/>
  <c r="BG121" i="25"/>
  <c r="BH121" i="25"/>
  <c r="BF121" i="25"/>
  <c r="BT121" i="25"/>
  <c r="CD143" i="25"/>
  <c r="BF143" i="25"/>
  <c r="BG143" i="25"/>
  <c r="BT143" i="25"/>
  <c r="BH143" i="25"/>
  <c r="CD136" i="25"/>
  <c r="BG136" i="25"/>
  <c r="BT136" i="25"/>
  <c r="BF136" i="25"/>
  <c r="BH136" i="25"/>
  <c r="CD138" i="25"/>
  <c r="BH138" i="25"/>
  <c r="BF138" i="25"/>
  <c r="BT138" i="25"/>
  <c r="BG138" i="25"/>
  <c r="CD189" i="25"/>
  <c r="BF189" i="25"/>
  <c r="BG189" i="25"/>
  <c r="BT189" i="25"/>
  <c r="BH189" i="25"/>
  <c r="CD123" i="25"/>
  <c r="BT123" i="25"/>
  <c r="BG123" i="25"/>
  <c r="BH123" i="25"/>
  <c r="BF123" i="25"/>
  <c r="CD175" i="25"/>
  <c r="BF175" i="25"/>
  <c r="BT175" i="25"/>
  <c r="BH175" i="25"/>
  <c r="BG175" i="25"/>
  <c r="CD163" i="25"/>
  <c r="BH163" i="25"/>
  <c r="BF163" i="25"/>
  <c r="BT163" i="25"/>
  <c r="BG163" i="25"/>
  <c r="CD172" i="25"/>
  <c r="BF172" i="25"/>
  <c r="BG172" i="25"/>
  <c r="BT172" i="25"/>
  <c r="BH172" i="25"/>
  <c r="CD209" i="25"/>
  <c r="BT209" i="25"/>
  <c r="BG209" i="25"/>
  <c r="BH209" i="25"/>
  <c r="BF209" i="25"/>
  <c r="CD167" i="25"/>
  <c r="BH167" i="25"/>
  <c r="BT167" i="25"/>
  <c r="BG167" i="25"/>
  <c r="BF167" i="25"/>
  <c r="CD187" i="25"/>
  <c r="BH187" i="25"/>
  <c r="BG187" i="25"/>
  <c r="BT187" i="25"/>
  <c r="BF187" i="25"/>
  <c r="CD154" i="25"/>
  <c r="BH154" i="25"/>
  <c r="BG154" i="25"/>
  <c r="BT154" i="25"/>
  <c r="BF154" i="25"/>
  <c r="CD161" i="25"/>
  <c r="BH161" i="25"/>
  <c r="BG161" i="25"/>
  <c r="BT161" i="25"/>
  <c r="BF161" i="25"/>
  <c r="CD119" i="25"/>
  <c r="BG119" i="25"/>
  <c r="BF119" i="25"/>
  <c r="BT119" i="25"/>
  <c r="BH119" i="25"/>
  <c r="CD177" i="25"/>
  <c r="BG177" i="25"/>
  <c r="BT177" i="25"/>
  <c r="BH177" i="25"/>
  <c r="BF177" i="25"/>
  <c r="BF133" i="25"/>
  <c r="BT133" i="25"/>
  <c r="BG133" i="25"/>
  <c r="BH133" i="25"/>
  <c r="CD144" i="25"/>
  <c r="BH144" i="25"/>
  <c r="BG144" i="25"/>
  <c r="BF144" i="25"/>
  <c r="BT144" i="25"/>
  <c r="BH122" i="25"/>
  <c r="BG122" i="25"/>
  <c r="BT122" i="25"/>
  <c r="BF122" i="25"/>
  <c r="CD160" i="25"/>
  <c r="BF160" i="25"/>
  <c r="BT160" i="25"/>
  <c r="BG160" i="25"/>
  <c r="BH160" i="25"/>
  <c r="CD191" i="25"/>
  <c r="BF191" i="25"/>
  <c r="BT191" i="25"/>
  <c r="BG191" i="25"/>
  <c r="BH191" i="25"/>
  <c r="CD171" i="25"/>
  <c r="BF171" i="25"/>
  <c r="BG171" i="25"/>
  <c r="BH171" i="25"/>
  <c r="BT171" i="25"/>
  <c r="BH112" i="25"/>
  <c r="BF112" i="25"/>
  <c r="BG112" i="25"/>
  <c r="BT112" i="25"/>
  <c r="CD182" i="25"/>
  <c r="BG182" i="25"/>
  <c r="BH182" i="25"/>
  <c r="BT182" i="25"/>
  <c r="BF182" i="25"/>
  <c r="CD155" i="25"/>
  <c r="BF155" i="25"/>
  <c r="BG155" i="25"/>
  <c r="BH155" i="25"/>
  <c r="BT155" i="25"/>
  <c r="CD178" i="25"/>
  <c r="BF178" i="25"/>
  <c r="BG178" i="25"/>
  <c r="BT178" i="25"/>
  <c r="BH178" i="25"/>
  <c r="CD153" i="25"/>
  <c r="BH153" i="25"/>
  <c r="BG153" i="25"/>
  <c r="BF153" i="25"/>
  <c r="BT153" i="25"/>
  <c r="BG135" i="25"/>
  <c r="BH135" i="25"/>
  <c r="BT135" i="25"/>
  <c r="BF135" i="25"/>
  <c r="CD159" i="25"/>
  <c r="BG159" i="25"/>
  <c r="BT159" i="25"/>
  <c r="BF159" i="25"/>
  <c r="BH159" i="25"/>
  <c r="BF173" i="25"/>
  <c r="BT173" i="25"/>
  <c r="BG173" i="25"/>
  <c r="BH173" i="25"/>
  <c r="CD127" i="25"/>
  <c r="BF127" i="25"/>
  <c r="BT127" i="25"/>
  <c r="BG127" i="25"/>
  <c r="BH127" i="25"/>
  <c r="BH162" i="25"/>
  <c r="BT162" i="25"/>
  <c r="BG162" i="25"/>
  <c r="BF162" i="25"/>
  <c r="AX154" i="24"/>
  <c r="BH142" i="24"/>
  <c r="BH139" i="24"/>
  <c r="BH121" i="24"/>
  <c r="BH179" i="24"/>
  <c r="AX143" i="24"/>
  <c r="BH171" i="24"/>
  <c r="BH158" i="24"/>
  <c r="BT120" i="24"/>
  <c r="BH185" i="24"/>
  <c r="BV183" i="24"/>
  <c r="AX197" i="24"/>
  <c r="BT154" i="24"/>
  <c r="AX127" i="24"/>
  <c r="BV125" i="24"/>
  <c r="BH145" i="24"/>
  <c r="AX139" i="24"/>
  <c r="AX179" i="24"/>
  <c r="BV145" i="24"/>
  <c r="BV142" i="24"/>
  <c r="BV139" i="24"/>
  <c r="CD164" i="24"/>
  <c r="BI164" i="24"/>
  <c r="BJ164" i="24"/>
  <c r="BH164" i="24"/>
  <c r="AX164" i="24"/>
  <c r="BT164" i="24"/>
  <c r="BV164" i="24"/>
  <c r="BI175" i="24"/>
  <c r="BJ175" i="24"/>
  <c r="BT175" i="24"/>
  <c r="AX175" i="24"/>
  <c r="BV175" i="24"/>
  <c r="BH175" i="24"/>
  <c r="CD201" i="24"/>
  <c r="BI201" i="24"/>
  <c r="BJ201" i="24"/>
  <c r="AT116" i="24"/>
  <c r="BA116" i="24" s="1"/>
  <c r="BT116" i="24"/>
  <c r="BV116" i="24"/>
  <c r="BH116" i="24"/>
  <c r="AX116" i="24"/>
  <c r="BI113" i="24"/>
  <c r="BJ113" i="24"/>
  <c r="BT113" i="24"/>
  <c r="BV113" i="24"/>
  <c r="AX113" i="24"/>
  <c r="BH113" i="24"/>
  <c r="AT136" i="24"/>
  <c r="BA136" i="24" s="1"/>
  <c r="CD144" i="24"/>
  <c r="BI144" i="24"/>
  <c r="BJ144" i="24"/>
  <c r="BT144" i="24"/>
  <c r="BH144" i="24"/>
  <c r="BV144" i="24"/>
  <c r="AT148" i="24"/>
  <c r="BA148" i="24" s="1"/>
  <c r="BT148" i="24"/>
  <c r="BV148" i="24"/>
  <c r="BH148" i="24"/>
  <c r="AX148" i="24"/>
  <c r="AT169" i="24"/>
  <c r="BA169" i="24" s="1"/>
  <c r="AT181" i="24"/>
  <c r="BA181" i="24" s="1"/>
  <c r="AT208" i="24"/>
  <c r="BA208" i="24" s="1"/>
  <c r="CD190" i="24"/>
  <c r="BI190" i="24"/>
  <c r="BJ190" i="24"/>
  <c r="BT190" i="24"/>
  <c r="BV190" i="24"/>
  <c r="AX190" i="24"/>
  <c r="BH190" i="24"/>
  <c r="BI148" i="24"/>
  <c r="BJ148" i="24"/>
  <c r="CD126" i="24"/>
  <c r="BI126" i="24"/>
  <c r="BJ126" i="24"/>
  <c r="BV126" i="24"/>
  <c r="BH126" i="24"/>
  <c r="BT126" i="24"/>
  <c r="AX126" i="24"/>
  <c r="CD111" i="24"/>
  <c r="BI111" i="24"/>
  <c r="BJ111" i="24"/>
  <c r="BJ118" i="24"/>
  <c r="BI118" i="24"/>
  <c r="BV118" i="24"/>
  <c r="AX118" i="24"/>
  <c r="BT118" i="24"/>
  <c r="BH118" i="24"/>
  <c r="AQ200" i="24"/>
  <c r="BI200" i="24"/>
  <c r="BJ200" i="24"/>
  <c r="AX200" i="24"/>
  <c r="BH200" i="24"/>
  <c r="BV200" i="24"/>
  <c r="BT200" i="24"/>
  <c r="CD178" i="24"/>
  <c r="BI178" i="24"/>
  <c r="BJ178" i="24"/>
  <c r="BT178" i="24"/>
  <c r="AX178" i="24"/>
  <c r="BH178" i="24"/>
  <c r="BV178" i="24"/>
  <c r="CD197" i="24"/>
  <c r="BI197" i="24"/>
  <c r="BJ197" i="24"/>
  <c r="BJ116" i="24"/>
  <c r="BI116" i="24"/>
  <c r="AT123" i="24"/>
  <c r="BA123" i="24" s="1"/>
  <c r="AT122" i="24"/>
  <c r="BA122" i="24" s="1"/>
  <c r="CD177" i="24"/>
  <c r="BI177" i="24"/>
  <c r="BJ177" i="24"/>
  <c r="BI137" i="24"/>
  <c r="BJ137" i="24"/>
  <c r="BI143" i="24"/>
  <c r="BJ143" i="24"/>
  <c r="BI120" i="24"/>
  <c r="BJ120" i="24"/>
  <c r="BJ153" i="24"/>
  <c r="BI153" i="24"/>
  <c r="CD171" i="24"/>
  <c r="BI171" i="24"/>
  <c r="BJ171" i="24"/>
  <c r="AT172" i="24"/>
  <c r="BA172" i="24" s="1"/>
  <c r="BV121" i="24"/>
  <c r="BH120" i="24"/>
  <c r="BT177" i="24"/>
  <c r="BH137" i="24"/>
  <c r="BT197" i="24"/>
  <c r="BV127" i="24"/>
  <c r="CD160" i="24"/>
  <c r="BJ160" i="24"/>
  <c r="BI160" i="24"/>
  <c r="BH160" i="24"/>
  <c r="AX160" i="24"/>
  <c r="BV160" i="24"/>
  <c r="BT160" i="24"/>
  <c r="BI135" i="24"/>
  <c r="BJ135" i="24"/>
  <c r="BT135" i="24"/>
  <c r="AX135" i="24"/>
  <c r="BV135" i="24"/>
  <c r="BH135" i="24"/>
  <c r="CD154" i="24"/>
  <c r="BI154" i="24"/>
  <c r="BJ154" i="24"/>
  <c r="AT115" i="24"/>
  <c r="BA115" i="24" s="1"/>
  <c r="CD125" i="24"/>
  <c r="BI125" i="24"/>
  <c r="BJ125" i="24"/>
  <c r="CD187" i="24"/>
  <c r="BI187" i="24"/>
  <c r="BJ187" i="24"/>
  <c r="CD183" i="24"/>
  <c r="BI183" i="24"/>
  <c r="BJ183" i="24"/>
  <c r="CD179" i="24"/>
  <c r="BI179" i="24"/>
  <c r="BJ179" i="24"/>
  <c r="CD151" i="24"/>
  <c r="BJ151" i="24"/>
  <c r="BI151" i="24"/>
  <c r="CD185" i="24"/>
  <c r="BI185" i="24"/>
  <c r="BJ185" i="24"/>
  <c r="BI158" i="24"/>
  <c r="BJ158" i="24"/>
  <c r="AT157" i="24"/>
  <c r="BA157" i="24" s="1"/>
  <c r="AT201" i="24"/>
  <c r="BA201" i="24" s="1"/>
  <c r="BT201" i="24"/>
  <c r="AX201" i="24"/>
  <c r="BV201" i="24"/>
  <c r="BH201" i="24"/>
  <c r="AT153" i="24"/>
  <c r="BA153" i="24" s="1"/>
  <c r="BT153" i="24"/>
  <c r="BV153" i="24"/>
  <c r="AX153" i="24"/>
  <c r="BH153" i="24"/>
  <c r="AT195" i="24"/>
  <c r="BA195" i="24" s="1"/>
  <c r="BV171" i="24"/>
  <c r="AX121" i="24"/>
  <c r="AX158" i="24"/>
  <c r="BT158" i="24"/>
  <c r="BV120" i="24"/>
  <c r="BH111" i="24"/>
  <c r="BT111" i="24"/>
  <c r="BT185" i="24"/>
  <c r="AX151" i="24"/>
  <c r="BT151" i="24"/>
  <c r="BH177" i="24"/>
  <c r="BV177" i="24"/>
  <c r="BH183" i="24"/>
  <c r="BT183" i="24"/>
  <c r="AX142" i="24"/>
  <c r="BV137" i="24"/>
  <c r="BT137" i="24"/>
  <c r="BV197" i="24"/>
  <c r="BV179" i="24"/>
  <c r="BV154" i="24"/>
  <c r="BT143" i="24"/>
  <c r="BT125" i="24"/>
  <c r="AX145" i="24"/>
  <c r="CD121" i="24"/>
  <c r="BI121" i="24"/>
  <c r="BJ121" i="24"/>
  <c r="BI138" i="24"/>
  <c r="BJ138" i="24"/>
  <c r="BV138" i="24"/>
  <c r="BT138" i="24"/>
  <c r="BH138" i="24"/>
  <c r="AX138" i="24"/>
  <c r="CD140" i="24"/>
  <c r="BJ140" i="24"/>
  <c r="BI140" i="24"/>
  <c r="BH140" i="24"/>
  <c r="AX140" i="24"/>
  <c r="BT140" i="24"/>
  <c r="BV140" i="24"/>
  <c r="CD202" i="24"/>
  <c r="BI202" i="24"/>
  <c r="BJ202" i="24"/>
  <c r="BT202" i="24"/>
  <c r="AX202" i="24"/>
  <c r="BV202" i="24"/>
  <c r="BH202" i="24"/>
  <c r="CD173" i="24"/>
  <c r="BI173" i="24"/>
  <c r="BJ173" i="24"/>
  <c r="AX173" i="24"/>
  <c r="BV173" i="24"/>
  <c r="BT173" i="24"/>
  <c r="BH173" i="24"/>
  <c r="CD129" i="24"/>
  <c r="BI129" i="24"/>
  <c r="BJ129" i="24"/>
  <c r="BH129" i="24"/>
  <c r="BT129" i="24"/>
  <c r="AX129" i="24"/>
  <c r="BV129" i="24"/>
  <c r="CD124" i="24"/>
  <c r="BJ124" i="24"/>
  <c r="BI124" i="24"/>
  <c r="BV124" i="24"/>
  <c r="BH124" i="24"/>
  <c r="AX124" i="24"/>
  <c r="BT124" i="24"/>
  <c r="CD127" i="24"/>
  <c r="BI127" i="24"/>
  <c r="BJ127" i="24"/>
  <c r="CD180" i="24"/>
  <c r="BJ180" i="24"/>
  <c r="BI180" i="24"/>
  <c r="BV180" i="24"/>
  <c r="AX180" i="24"/>
  <c r="BH180" i="24"/>
  <c r="BT180" i="24"/>
  <c r="BI145" i="24"/>
  <c r="BJ145" i="24"/>
  <c r="CD142" i="24"/>
  <c r="BI142" i="24"/>
  <c r="BJ142" i="24"/>
  <c r="AT112" i="24"/>
  <c r="BA112" i="24" s="1"/>
  <c r="CD139" i="24"/>
  <c r="BI139" i="24"/>
  <c r="BJ139" i="24"/>
  <c r="AT155" i="24"/>
  <c r="BA155" i="24" s="1"/>
  <c r="AT210" i="24"/>
  <c r="BA210" i="24" s="1"/>
  <c r="AT187" i="24"/>
  <c r="BA187" i="24" s="1"/>
  <c r="BT187" i="24"/>
  <c r="BH187" i="24"/>
  <c r="BV187" i="24"/>
  <c r="AX187" i="24"/>
  <c r="AT207" i="24"/>
  <c r="BA207" i="24" s="1"/>
  <c r="BT171" i="24"/>
  <c r="BV111" i="24"/>
  <c r="AX185" i="24"/>
  <c r="AX177" i="24"/>
  <c r="AX137" i="24"/>
  <c r="BH127" i="24"/>
  <c r="BH143" i="24"/>
  <c r="AX125" i="24"/>
  <c r="AN165" i="24"/>
  <c r="AQ165" i="24" s="1"/>
  <c r="BV56" i="24"/>
  <c r="BV74" i="24"/>
  <c r="AK152" i="24"/>
  <c r="AV15" i="24"/>
  <c r="AV33" i="24"/>
  <c r="AV41" i="24"/>
  <c r="AV64" i="24"/>
  <c r="AV46" i="24"/>
  <c r="BV46" i="24"/>
  <c r="AV63" i="24"/>
  <c r="BV63" i="24"/>
  <c r="BV89" i="24"/>
  <c r="AV92" i="24"/>
  <c r="BV92" i="24"/>
  <c r="AV79" i="24"/>
  <c r="BV79" i="24"/>
  <c r="AV34" i="24"/>
  <c r="AV11" i="24"/>
  <c r="AV99" i="24"/>
  <c r="AT8" i="24"/>
  <c r="BA8" i="24" s="1"/>
  <c r="AV28" i="24"/>
  <c r="BV28" i="24"/>
  <c r="AV31" i="24"/>
  <c r="BV31" i="24"/>
  <c r="AV18" i="24"/>
  <c r="BV18" i="24"/>
  <c r="AV96" i="24"/>
  <c r="BV96" i="24"/>
  <c r="AV55" i="24"/>
  <c r="BV100" i="24"/>
  <c r="AV49" i="24"/>
  <c r="AV43" i="24"/>
  <c r="AV35" i="24"/>
  <c r="AV29" i="24"/>
  <c r="BV29" i="24"/>
  <c r="AV21" i="24"/>
  <c r="BV21" i="24"/>
  <c r="AV51" i="24"/>
  <c r="AV72" i="24"/>
  <c r="BV72" i="24"/>
  <c r="BV83" i="24"/>
  <c r="AV19" i="24"/>
  <c r="BV19" i="24"/>
  <c r="AT13" i="24"/>
  <c r="BA13" i="24" s="1"/>
  <c r="AV40" i="24"/>
  <c r="BV40" i="24"/>
  <c r="AV59" i="24"/>
  <c r="BV59" i="24"/>
  <c r="AV54" i="24"/>
  <c r="BV54" i="24"/>
  <c r="AV68" i="24"/>
  <c r="BV68" i="24"/>
  <c r="AV82" i="24"/>
  <c r="BV82" i="24"/>
  <c r="AV97" i="24"/>
  <c r="BV32" i="24"/>
  <c r="BV53" i="24"/>
  <c r="AK172" i="24"/>
  <c r="AT79" i="24"/>
  <c r="BA79" i="24" s="1"/>
  <c r="AN152" i="24"/>
  <c r="AK70" i="24"/>
  <c r="AK253" i="24"/>
  <c r="AN278" i="24"/>
  <c r="CD278" i="24" s="1"/>
  <c r="AN305" i="24"/>
  <c r="AQ305" i="24" s="1"/>
  <c r="AN182" i="24"/>
  <c r="AK281" i="24"/>
  <c r="AK313" i="24"/>
  <c r="AN70" i="24"/>
  <c r="AN78" i="24"/>
  <c r="AN193" i="24"/>
  <c r="AQ104" i="24"/>
  <c r="CD104" i="24"/>
  <c r="AK277" i="24"/>
  <c r="BF32" i="25"/>
  <c r="CD32" i="25"/>
  <c r="AX36" i="24"/>
  <c r="CD36" i="24"/>
  <c r="AN237" i="24"/>
  <c r="AS237" i="24" s="1"/>
  <c r="AK246" i="24"/>
  <c r="AK190" i="24"/>
  <c r="CD78" i="24"/>
  <c r="AX42" i="24"/>
  <c r="CD42" i="24"/>
  <c r="AK115" i="24"/>
  <c r="AK137" i="24"/>
  <c r="AN238" i="24"/>
  <c r="AQ238" i="24" s="1"/>
  <c r="AK154" i="24"/>
  <c r="AN260" i="24"/>
  <c r="AQ260" i="24" s="1"/>
  <c r="AK263" i="24"/>
  <c r="AK280" i="24"/>
  <c r="AK207" i="24"/>
  <c r="AK260" i="24"/>
  <c r="AK195" i="24"/>
  <c r="AJ103" i="24"/>
  <c r="AK193" i="24"/>
  <c r="AN128" i="24"/>
  <c r="AN132" i="24"/>
  <c r="AK289" i="24"/>
  <c r="AN191" i="24"/>
  <c r="CD191" i="24" s="1"/>
  <c r="AK157" i="24"/>
  <c r="AK262" i="24"/>
  <c r="AK132" i="24"/>
  <c r="AN262" i="24"/>
  <c r="AS262" i="24" s="1"/>
  <c r="AK169" i="24"/>
  <c r="AN189" i="24"/>
  <c r="AN311" i="24"/>
  <c r="AQ311" i="24" s="1"/>
  <c r="AK248" i="24"/>
  <c r="AK114" i="24"/>
  <c r="AK270" i="24"/>
  <c r="AK210" i="24"/>
  <c r="AN255" i="24"/>
  <c r="CD255" i="24" s="1"/>
  <c r="AN146" i="24"/>
  <c r="AK312" i="24"/>
  <c r="AN217" i="24"/>
  <c r="CD217" i="24" s="1"/>
  <c r="AK283" i="24"/>
  <c r="AJ81" i="24"/>
  <c r="AJ75" i="24"/>
  <c r="AJ93" i="24"/>
  <c r="AK242" i="24"/>
  <c r="AK196" i="24"/>
  <c r="AN147" i="24"/>
  <c r="AN312" i="24"/>
  <c r="AQ312" i="24" s="1"/>
  <c r="AN291" i="24"/>
  <c r="CD291" i="24" s="1"/>
  <c r="AK249" i="24"/>
  <c r="AN263" i="24"/>
  <c r="AS263" i="24" s="1"/>
  <c r="AN289" i="24"/>
  <c r="AK244" i="24"/>
  <c r="AK261" i="24"/>
  <c r="AK158" i="24"/>
  <c r="AK183" i="24"/>
  <c r="AK191" i="24"/>
  <c r="AK56" i="24"/>
  <c r="AJ98" i="24"/>
  <c r="AN73" i="24"/>
  <c r="BV73" i="24" s="1"/>
  <c r="AK269" i="24"/>
  <c r="AK252" i="24"/>
  <c r="AN170" i="24"/>
  <c r="AX63" i="24"/>
  <c r="AN55" i="24"/>
  <c r="BT55" i="24" s="1"/>
  <c r="AN159" i="24"/>
  <c r="AN25" i="24"/>
  <c r="AK189" i="24"/>
  <c r="AK162" i="24"/>
  <c r="AN295" i="24"/>
  <c r="AQ295" i="24" s="1"/>
  <c r="AK142" i="24"/>
  <c r="AK174" i="24"/>
  <c r="AN33" i="24"/>
  <c r="AX33" i="24" s="1"/>
  <c r="AN167" i="24"/>
  <c r="CD167" i="24" s="1"/>
  <c r="AN168" i="24"/>
  <c r="AN122" i="24"/>
  <c r="AN166" i="24"/>
  <c r="CD166" i="24" s="1"/>
  <c r="AN242" i="24"/>
  <c r="AQ242" i="24" s="1"/>
  <c r="AK97" i="24"/>
  <c r="AN265" i="24"/>
  <c r="CD265" i="24" s="1"/>
  <c r="AK185" i="24"/>
  <c r="AT97" i="24"/>
  <c r="BA97" i="24" s="1"/>
  <c r="AN269" i="24"/>
  <c r="AS269" i="24" s="1"/>
  <c r="AN226" i="24"/>
  <c r="AQ226" i="24" s="1"/>
  <c r="AK147" i="24"/>
  <c r="AK155" i="24"/>
  <c r="AK92" i="24"/>
  <c r="AT92" i="24"/>
  <c r="BA92" i="24" s="1"/>
  <c r="AK171" i="24"/>
  <c r="AN130" i="24"/>
  <c r="AJ67" i="24"/>
  <c r="AJ84" i="24"/>
  <c r="AJ76" i="24"/>
  <c r="AK166" i="24"/>
  <c r="AX68" i="24"/>
  <c r="AT68" i="24"/>
  <c r="BA68" i="24" s="1"/>
  <c r="AK257" i="24"/>
  <c r="AK267" i="24"/>
  <c r="AJ66" i="24"/>
  <c r="AJ44" i="24"/>
  <c r="AT82" i="24"/>
  <c r="BA82" i="24" s="1"/>
  <c r="AN114" i="24"/>
  <c r="AK290" i="24"/>
  <c r="AN150" i="24"/>
  <c r="AK282" i="24"/>
  <c r="AK299" i="24"/>
  <c r="AN198" i="24"/>
  <c r="AK153" i="24"/>
  <c r="AK120" i="24"/>
  <c r="AN176" i="24"/>
  <c r="AK143" i="24"/>
  <c r="AN308" i="24"/>
  <c r="AQ308" i="24" s="1"/>
  <c r="AN206" i="24"/>
  <c r="AN117" i="24"/>
  <c r="AT59" i="24"/>
  <c r="BA59" i="24" s="1"/>
  <c r="AK139" i="24"/>
  <c r="AK168" i="24"/>
  <c r="AN156" i="24"/>
  <c r="AN204" i="24"/>
  <c r="AK151" i="24"/>
  <c r="AN231" i="24"/>
  <c r="AS231" i="24" s="1"/>
  <c r="BH46" i="24"/>
  <c r="AN232" i="24"/>
  <c r="AQ232" i="24" s="1"/>
  <c r="AN195" i="24"/>
  <c r="BH195" i="24" s="1"/>
  <c r="AK144" i="24"/>
  <c r="AT46" i="24"/>
  <c r="BA46" i="24" s="1"/>
  <c r="AT63" i="24"/>
  <c r="BA63" i="24" s="1"/>
  <c r="AK25" i="24"/>
  <c r="AK51" i="24"/>
  <c r="AK298" i="24"/>
  <c r="AT51" i="24"/>
  <c r="BA51" i="24" s="1"/>
  <c r="AK276" i="24"/>
  <c r="AN296" i="24"/>
  <c r="AS296" i="24" s="1"/>
  <c r="AN306" i="24"/>
  <c r="AK89" i="24"/>
  <c r="AK225" i="24"/>
  <c r="AV88" i="24"/>
  <c r="AT88" i="24"/>
  <c r="BA88" i="24" s="1"/>
  <c r="AN10" i="24"/>
  <c r="AN284" i="24"/>
  <c r="AQ284" i="24" s="1"/>
  <c r="AJ77" i="24"/>
  <c r="AN174" i="24"/>
  <c r="AT40" i="24"/>
  <c r="BA40" i="24" s="1"/>
  <c r="AN225" i="24"/>
  <c r="AN133" i="24"/>
  <c r="AT72" i="24"/>
  <c r="BA72" i="24" s="1"/>
  <c r="AJ71" i="24"/>
  <c r="AT54" i="24"/>
  <c r="BA54" i="24" s="1"/>
  <c r="AV89" i="24"/>
  <c r="AT89" i="24"/>
  <c r="BA89" i="24" s="1"/>
  <c r="AJ80" i="24"/>
  <c r="AJ90" i="24"/>
  <c r="AJ39" i="24"/>
  <c r="AK112" i="24"/>
  <c r="AK113" i="24"/>
  <c r="AJ57" i="24"/>
  <c r="AJ62" i="24"/>
  <c r="AK64" i="24"/>
  <c r="AT64" i="24"/>
  <c r="BA64" i="24" s="1"/>
  <c r="AN162" i="24"/>
  <c r="AN209" i="24"/>
  <c r="AK179" i="24"/>
  <c r="AV61" i="24"/>
  <c r="AT61" i="24"/>
  <c r="BA61" i="24" s="1"/>
  <c r="AJ38" i="24"/>
  <c r="AT43" i="24"/>
  <c r="BA43" i="24" s="1"/>
  <c r="AJ45" i="24"/>
  <c r="AK136" i="24"/>
  <c r="AN188" i="24"/>
  <c r="AJ48" i="24"/>
  <c r="AJ52" i="24"/>
  <c r="AN119" i="24"/>
  <c r="AK145" i="24"/>
  <c r="AK167" i="24"/>
  <c r="BH40" i="24"/>
  <c r="AK41" i="24"/>
  <c r="AN141" i="24"/>
  <c r="AN184" i="24"/>
  <c r="CD184" i="24" s="1"/>
  <c r="AN95" i="24"/>
  <c r="CD95" i="24" s="1"/>
  <c r="AK46" i="24"/>
  <c r="AT41" i="24"/>
  <c r="BA41" i="24" s="1"/>
  <c r="AN112" i="24"/>
  <c r="AN196" i="24"/>
  <c r="AN208" i="24"/>
  <c r="BV208" i="24" s="1"/>
  <c r="AN101" i="24"/>
  <c r="AK54" i="24"/>
  <c r="AN60" i="24"/>
  <c r="BV60" i="24" s="1"/>
  <c r="AN181" i="24"/>
  <c r="BT181" i="24" s="1"/>
  <c r="AN157" i="24"/>
  <c r="BV157" i="24" s="1"/>
  <c r="AK36" i="24"/>
  <c r="AN23" i="24"/>
  <c r="AN205" i="24"/>
  <c r="AN199" i="24"/>
  <c r="AK96" i="24"/>
  <c r="AN97" i="24"/>
  <c r="CD97" i="24" s="1"/>
  <c r="AN51" i="24"/>
  <c r="BV51" i="24" s="1"/>
  <c r="AN105" i="24"/>
  <c r="CD105" i="24" s="1"/>
  <c r="AK85" i="24"/>
  <c r="AK100" i="24"/>
  <c r="AK148" i="24"/>
  <c r="AN192" i="24"/>
  <c r="AN186" i="24"/>
  <c r="AT21" i="24"/>
  <c r="BA21" i="24" s="1"/>
  <c r="AN203" i="24"/>
  <c r="AK177" i="24"/>
  <c r="AV13" i="24"/>
  <c r="AN41" i="24"/>
  <c r="AN210" i="24"/>
  <c r="AX210" i="24" s="1"/>
  <c r="AK187" i="24"/>
  <c r="AK122" i="24"/>
  <c r="AT31" i="24"/>
  <c r="BA31" i="24" s="1"/>
  <c r="AN14" i="24"/>
  <c r="CD14" i="24" s="1"/>
  <c r="AN172" i="24"/>
  <c r="BH172" i="24" s="1"/>
  <c r="AN131" i="24"/>
  <c r="AK159" i="24"/>
  <c r="AT18" i="24"/>
  <c r="BA18" i="24" s="1"/>
  <c r="AK82" i="24"/>
  <c r="AX31" i="24"/>
  <c r="AK18" i="24"/>
  <c r="AN115" i="24"/>
  <c r="BV115" i="24" s="1"/>
  <c r="AK40" i="24"/>
  <c r="AK42" i="24"/>
  <c r="AK79" i="24"/>
  <c r="AN149" i="24"/>
  <c r="AK23" i="24"/>
  <c r="AK125" i="24"/>
  <c r="AN161" i="24"/>
  <c r="AN155" i="24"/>
  <c r="BH155" i="24" s="1"/>
  <c r="AN207" i="24"/>
  <c r="BV207" i="24" s="1"/>
  <c r="AN163" i="24"/>
  <c r="AN136" i="24"/>
  <c r="AK21" i="24"/>
  <c r="AK72" i="24"/>
  <c r="BH21" i="24"/>
  <c r="CD70" i="24"/>
  <c r="AT33" i="24"/>
  <c r="BA33" i="24" s="1"/>
  <c r="AN27" i="24"/>
  <c r="AX92" i="24"/>
  <c r="CD92" i="24"/>
  <c r="AN64" i="24"/>
  <c r="BH64" i="24" s="1"/>
  <c r="AT19" i="24"/>
  <c r="BA19" i="24" s="1"/>
  <c r="AK29" i="24"/>
  <c r="AK55" i="24"/>
  <c r="AN86" i="24"/>
  <c r="BH19" i="24"/>
  <c r="AN87" i="24"/>
  <c r="CD87" i="24" s="1"/>
  <c r="AK28" i="24"/>
  <c r="AG65" i="24"/>
  <c r="AN65" i="24" s="1"/>
  <c r="BI65" i="24" s="1"/>
  <c r="AN169" i="24"/>
  <c r="AX169" i="24" s="1"/>
  <c r="AN50" i="24"/>
  <c r="CD50" i="24" s="1"/>
  <c r="AK33" i="24"/>
  <c r="AG71" i="24"/>
  <c r="AK123" i="24"/>
  <c r="AT15" i="24"/>
  <c r="BA15" i="24" s="1"/>
  <c r="AN134" i="24"/>
  <c r="BF90" i="25"/>
  <c r="CD90" i="25"/>
  <c r="AT29" i="24"/>
  <c r="BA29" i="24" s="1"/>
  <c r="AG13" i="24"/>
  <c r="AK13" i="24" s="1"/>
  <c r="AK116" i="24"/>
  <c r="AN194" i="24"/>
  <c r="AV8" i="24"/>
  <c r="BH28" i="24"/>
  <c r="AK201" i="24"/>
  <c r="AN123" i="24"/>
  <c r="BV123" i="24" s="1"/>
  <c r="AK31" i="24"/>
  <c r="AK53" i="24"/>
  <c r="AT28" i="24"/>
  <c r="BA28" i="24" s="1"/>
  <c r="AN91" i="24"/>
  <c r="CD91" i="24" s="1"/>
  <c r="AK63" i="24"/>
  <c r="AK68" i="24"/>
  <c r="AK59" i="24"/>
  <c r="AF43" i="24"/>
  <c r="AK43" i="24" s="1"/>
  <c r="AK19" i="24"/>
  <c r="AK32" i="24"/>
  <c r="AT49" i="24"/>
  <c r="BA49" i="24" s="1"/>
  <c r="AG49" i="24"/>
  <c r="AK49" i="24" s="1"/>
  <c r="AV37" i="24"/>
  <c r="AT37" i="24"/>
  <c r="BA37" i="24" s="1"/>
  <c r="BT104" i="24"/>
  <c r="AX104" i="24"/>
  <c r="BI104" i="24"/>
  <c r="AN69" i="24"/>
  <c r="AK104" i="24"/>
  <c r="AG102" i="24"/>
  <c r="AJ22" i="24"/>
  <c r="AT34" i="24"/>
  <c r="BA34" i="24" s="1"/>
  <c r="AG48" i="24"/>
  <c r="BH104" i="24"/>
  <c r="AV65" i="24"/>
  <c r="AT65" i="24"/>
  <c r="BA65" i="24" s="1"/>
  <c r="AS104" i="24"/>
  <c r="AU104" i="24" s="1"/>
  <c r="BB104" i="24" s="1"/>
  <c r="AG22" i="24"/>
  <c r="AN22" i="24" s="1"/>
  <c r="AV102" i="24"/>
  <c r="AT102" i="24"/>
  <c r="BA102" i="24" s="1"/>
  <c r="BJ104" i="24"/>
  <c r="AG81" i="24"/>
  <c r="AN81" i="24" s="1"/>
  <c r="CD81" i="24" s="1"/>
  <c r="AG15" i="24"/>
  <c r="AK15" i="24" s="1"/>
  <c r="AG34" i="24"/>
  <c r="AN34" i="24" s="1"/>
  <c r="AX34" i="24" s="1"/>
  <c r="AG93" i="24"/>
  <c r="AJ12" i="24"/>
  <c r="AG37" i="24"/>
  <c r="AF37" i="24"/>
  <c r="AJ20" i="24"/>
  <c r="AF8" i="24"/>
  <c r="AG8" i="24"/>
  <c r="AA94" i="24"/>
  <c r="AB94" i="24" s="1"/>
  <c r="AC94" i="24" s="1"/>
  <c r="AJ94" i="24" s="1"/>
  <c r="AG94" i="24"/>
  <c r="AV6" i="24"/>
  <c r="AT6" i="24"/>
  <c r="BA6" i="24" s="1"/>
  <c r="AT35" i="24"/>
  <c r="BA35" i="24" s="1"/>
  <c r="AT99" i="24"/>
  <c r="BA99" i="24" s="1"/>
  <c r="AJ7" i="24"/>
  <c r="AT11" i="24"/>
  <c r="BA11" i="24" s="1"/>
  <c r="AV58" i="24"/>
  <c r="AT58" i="24"/>
  <c r="BA58" i="24" s="1"/>
  <c r="AF11" i="24"/>
  <c r="AG11" i="24"/>
  <c r="AF57" i="24"/>
  <c r="AG57" i="24"/>
  <c r="AG88" i="24"/>
  <c r="AK88" i="24" s="1"/>
  <c r="AG16" i="24"/>
  <c r="AF16" i="24"/>
  <c r="AF67" i="24"/>
  <c r="AG67" i="24"/>
  <c r="AF39" i="24"/>
  <c r="AG39" i="24"/>
  <c r="AF99" i="24"/>
  <c r="AG99" i="24"/>
  <c r="AF47" i="24"/>
  <c r="AG47" i="24"/>
  <c r="AJ9" i="24"/>
  <c r="AF12" i="24"/>
  <c r="AG12" i="24"/>
  <c r="AF58" i="24"/>
  <c r="AG58" i="24"/>
  <c r="AF76" i="24"/>
  <c r="AG76" i="24"/>
  <c r="AG24" i="24"/>
  <c r="AF24" i="24"/>
  <c r="AF30" i="24"/>
  <c r="AG30" i="24"/>
  <c r="AG61" i="24"/>
  <c r="AF17" i="24"/>
  <c r="AG17" i="24"/>
  <c r="AG77" i="24"/>
  <c r="AF77" i="24"/>
  <c r="AF84" i="24"/>
  <c r="AG84" i="24"/>
  <c r="AF80" i="24"/>
  <c r="AG80" i="24"/>
  <c r="AG75" i="24"/>
  <c r="AF75" i="24"/>
  <c r="AF20" i="24"/>
  <c r="AG20" i="24"/>
  <c r="AA26" i="24"/>
  <c r="AB26" i="24" s="1"/>
  <c r="AC26" i="24" s="1"/>
  <c r="AJ26" i="24" s="1"/>
  <c r="AG26" i="24"/>
  <c r="AG45" i="24"/>
  <c r="AF45" i="24"/>
  <c r="AF52" i="24"/>
  <c r="AG52" i="24"/>
  <c r="AG9" i="24"/>
  <c r="AF9" i="24"/>
  <c r="AG35" i="24"/>
  <c r="AN35" i="24" s="1"/>
  <c r="BH35" i="24" s="1"/>
  <c r="AJ16" i="24"/>
  <c r="AJ17" i="24"/>
  <c r="AG66" i="24"/>
  <c r="AF66" i="24"/>
  <c r="AJ24" i="24"/>
  <c r="AG38" i="24"/>
  <c r="AF38" i="24"/>
  <c r="AJ30" i="24"/>
  <c r="AG103" i="24"/>
  <c r="AF103" i="24"/>
  <c r="AV47" i="24"/>
  <c r="AT47" i="24"/>
  <c r="BA47" i="24" s="1"/>
  <c r="AG90" i="24"/>
  <c r="AF90" i="24"/>
  <c r="AF62" i="24"/>
  <c r="AG62" i="24"/>
  <c r="AG98" i="24"/>
  <c r="AF98" i="24"/>
  <c r="AG44" i="24"/>
  <c r="AF6" i="24"/>
  <c r="AG6" i="24"/>
  <c r="AF7" i="24"/>
  <c r="AG7" i="24"/>
  <c r="AX54" i="24"/>
  <c r="AX72" i="24"/>
  <c r="BT85" i="24"/>
  <c r="AX85" i="24"/>
  <c r="AX82" i="24"/>
  <c r="AX74" i="24"/>
  <c r="AX59" i="24"/>
  <c r="AX96" i="24"/>
  <c r="AX28" i="24"/>
  <c r="AX89" i="24"/>
  <c r="AX79" i="24"/>
  <c r="AX18" i="24"/>
  <c r="AX40" i="24"/>
  <c r="AX19" i="24"/>
  <c r="AX21" i="24"/>
  <c r="AX29" i="24"/>
  <c r="AX46" i="24"/>
  <c r="AU5" i="24"/>
  <c r="BB5" i="24" s="1"/>
  <c r="BT72" i="25"/>
  <c r="CD72" i="25"/>
  <c r="AN110" i="24"/>
  <c r="BT98" i="25"/>
  <c r="CD98" i="25"/>
  <c r="BT58" i="25"/>
  <c r="CD58" i="25"/>
  <c r="BT74" i="25"/>
  <c r="CD74" i="25"/>
  <c r="AW5" i="24"/>
  <c r="AY5" i="24" s="1"/>
  <c r="AZ5" i="24" s="1"/>
  <c r="BF39" i="25"/>
  <c r="CD39" i="25"/>
  <c r="AM110" i="25"/>
  <c r="BV110" i="25" s="1"/>
  <c r="BF84" i="25"/>
  <c r="CD84" i="25"/>
  <c r="BF33" i="25"/>
  <c r="CD33" i="25"/>
  <c r="BT55" i="25"/>
  <c r="CD55" i="25"/>
  <c r="BT75" i="25"/>
  <c r="CD75" i="25"/>
  <c r="BF60" i="25"/>
  <c r="CD60" i="25"/>
  <c r="AS5" i="25"/>
  <c r="AW5" i="25" s="1"/>
  <c r="BF43" i="25"/>
  <c r="CD43" i="25"/>
  <c r="BT53" i="24"/>
  <c r="BH36" i="24"/>
  <c r="BF50" i="25"/>
  <c r="CD50" i="25"/>
  <c r="BT25" i="25"/>
  <c r="CD25" i="25"/>
  <c r="BT65" i="25"/>
  <c r="CD65" i="25"/>
  <c r="AJ5" i="25"/>
  <c r="AM5" i="25"/>
  <c r="BV5" i="25" s="1"/>
  <c r="BF46" i="25"/>
  <c r="CD46" i="25"/>
  <c r="AW40" i="25"/>
  <c r="AW17" i="25"/>
  <c r="L20" i="1"/>
  <c r="AW96" i="25"/>
  <c r="AW28" i="25"/>
  <c r="AW100" i="25"/>
  <c r="AW22" i="25"/>
  <c r="AW54" i="25"/>
  <c r="AW61" i="25"/>
  <c r="AW91" i="25"/>
  <c r="AW14" i="25"/>
  <c r="AW24" i="25"/>
  <c r="AW35" i="25"/>
  <c r="AW76" i="25"/>
  <c r="AW31" i="25"/>
  <c r="AW41" i="25"/>
  <c r="AW12" i="25"/>
  <c r="AW42" i="25"/>
  <c r="AW27" i="25"/>
  <c r="AW88" i="25"/>
  <c r="AW6" i="25"/>
  <c r="AW64" i="25"/>
  <c r="AW87" i="25"/>
  <c r="AW36" i="25"/>
  <c r="AW103" i="25"/>
  <c r="AW63" i="25"/>
  <c r="AW62" i="25"/>
  <c r="AW56" i="25"/>
  <c r="AW68" i="25"/>
  <c r="AW94" i="25"/>
  <c r="AW59" i="25"/>
  <c r="AW9" i="25"/>
  <c r="AW26" i="25"/>
  <c r="AW81" i="25"/>
  <c r="AW30" i="25"/>
  <c r="AW11" i="25"/>
  <c r="AW101" i="25"/>
  <c r="AW47" i="25"/>
  <c r="AW37" i="25"/>
  <c r="AW83" i="25"/>
  <c r="AW51" i="25"/>
  <c r="AW86" i="25"/>
  <c r="AW52" i="25"/>
  <c r="AW8" i="25"/>
  <c r="AW71" i="25"/>
  <c r="AW29" i="25"/>
  <c r="AW79" i="25"/>
  <c r="AW78" i="25"/>
  <c r="AW15" i="25"/>
  <c r="AW53" i="25"/>
  <c r="AW48" i="25"/>
  <c r="AW93" i="25"/>
  <c r="AW97" i="25"/>
  <c r="AW21" i="25"/>
  <c r="AW38" i="25"/>
  <c r="AW20" i="25"/>
  <c r="AW92" i="25"/>
  <c r="AW67" i="25"/>
  <c r="AW70" i="25"/>
  <c r="AW105" i="25"/>
  <c r="AW49" i="25"/>
  <c r="AW82" i="25"/>
  <c r="AW69" i="25"/>
  <c r="AW44" i="25"/>
  <c r="AW104" i="25"/>
  <c r="AW13" i="25"/>
  <c r="AW102" i="25"/>
  <c r="BT95" i="25"/>
  <c r="CD95" i="25"/>
  <c r="AP216" i="25"/>
  <c r="AR216" i="25"/>
  <c r="BT80" i="25"/>
  <c r="CD80" i="25"/>
  <c r="BT7" i="25"/>
  <c r="BT18" i="25"/>
  <c r="BF66" i="25"/>
  <c r="BF75" i="25"/>
  <c r="BF72" i="25"/>
  <c r="BT90" i="25"/>
  <c r="BF89" i="25"/>
  <c r="BT33" i="25"/>
  <c r="BF16" i="25"/>
  <c r="BT50" i="25"/>
  <c r="BF58" i="25"/>
  <c r="BT32" i="25"/>
  <c r="BF95" i="25"/>
  <c r="BT39" i="25"/>
  <c r="BT46" i="25"/>
  <c r="BT43" i="25"/>
  <c r="AR206" i="25"/>
  <c r="AP206" i="25"/>
  <c r="AW77" i="25"/>
  <c r="AR193" i="25"/>
  <c r="AP193" i="25"/>
  <c r="AR164" i="25"/>
  <c r="AP164" i="25"/>
  <c r="AR231" i="25"/>
  <c r="AP231" i="25"/>
  <c r="AR27" i="25"/>
  <c r="BG27" i="25"/>
  <c r="BH27" i="25"/>
  <c r="AP27" i="25"/>
  <c r="BT27" i="25"/>
  <c r="BF27" i="25"/>
  <c r="AR73" i="25"/>
  <c r="AT73" i="25" s="1"/>
  <c r="AY73" i="25" s="1"/>
  <c r="BG73" i="25"/>
  <c r="BH73" i="25"/>
  <c r="AP73" i="25"/>
  <c r="AR230" i="25"/>
  <c r="AP230" i="25"/>
  <c r="AR118" i="25"/>
  <c r="AP118" i="25"/>
  <c r="AR8" i="25"/>
  <c r="BG8" i="25"/>
  <c r="BH8" i="25"/>
  <c r="AP8" i="25"/>
  <c r="BT8" i="25"/>
  <c r="BF8" i="25"/>
  <c r="AR40" i="25"/>
  <c r="BG40" i="25"/>
  <c r="BH40" i="25"/>
  <c r="AP40" i="25"/>
  <c r="BF40" i="25"/>
  <c r="BT40" i="25"/>
  <c r="AR125" i="25"/>
  <c r="AP125" i="25"/>
  <c r="AR307" i="25"/>
  <c r="AP307" i="25"/>
  <c r="AR137" i="25"/>
  <c r="AP137" i="25"/>
  <c r="AR247" i="25"/>
  <c r="AP247" i="25"/>
  <c r="AR145" i="25"/>
  <c r="AP145" i="25"/>
  <c r="AR202" i="25"/>
  <c r="AP202" i="25"/>
  <c r="AR267" i="25"/>
  <c r="AP267" i="25"/>
  <c r="AR79" i="25"/>
  <c r="BG79" i="25"/>
  <c r="BH79" i="25"/>
  <c r="AP79" i="25"/>
  <c r="BF79" i="25"/>
  <c r="BT79" i="25"/>
  <c r="AW72" i="25"/>
  <c r="AR285" i="25"/>
  <c r="AP285" i="25"/>
  <c r="AR120" i="25"/>
  <c r="AP120" i="25"/>
  <c r="AR176" i="25"/>
  <c r="AP176" i="25"/>
  <c r="AR271" i="25"/>
  <c r="AP271" i="25"/>
  <c r="AW18" i="25"/>
  <c r="AR229" i="25"/>
  <c r="AP229" i="25"/>
  <c r="AR165" i="25"/>
  <c r="AP165" i="25"/>
  <c r="AR70" i="25"/>
  <c r="BG70" i="25"/>
  <c r="BH70" i="25"/>
  <c r="AP70" i="25"/>
  <c r="BF70" i="25"/>
  <c r="BT70" i="25"/>
  <c r="AR228" i="25"/>
  <c r="AP228" i="25"/>
  <c r="AW73" i="25"/>
  <c r="AR166" i="25"/>
  <c r="AP166" i="25"/>
  <c r="AR196" i="25"/>
  <c r="AP196" i="25"/>
  <c r="AR170" i="25"/>
  <c r="AP170" i="25"/>
  <c r="AR244" i="25"/>
  <c r="AP244" i="25"/>
  <c r="AR143" i="25"/>
  <c r="AP143" i="25"/>
  <c r="AR81" i="25"/>
  <c r="BG81" i="25"/>
  <c r="BH81" i="25"/>
  <c r="AP81" i="25"/>
  <c r="BT81" i="25"/>
  <c r="BF81" i="25"/>
  <c r="AW23" i="25"/>
  <c r="AR257" i="25"/>
  <c r="AP257" i="25"/>
  <c r="AR309" i="25"/>
  <c r="AP309" i="25"/>
  <c r="AR102" i="25"/>
  <c r="BG102" i="25"/>
  <c r="BH102" i="25"/>
  <c r="AP102" i="25"/>
  <c r="BT102" i="25"/>
  <c r="BF102" i="25"/>
  <c r="AR85" i="25"/>
  <c r="AT85" i="25" s="1"/>
  <c r="AY85" i="25" s="1"/>
  <c r="BG85" i="25"/>
  <c r="BH85" i="25"/>
  <c r="AP85" i="25"/>
  <c r="AR98" i="25"/>
  <c r="AT98" i="25" s="1"/>
  <c r="AY98" i="25" s="1"/>
  <c r="BG98" i="25"/>
  <c r="BH98" i="25"/>
  <c r="AP98" i="25"/>
  <c r="AW10" i="25"/>
  <c r="AR204" i="25"/>
  <c r="AP204" i="25"/>
  <c r="AR292" i="25"/>
  <c r="AP292" i="25"/>
  <c r="AR124" i="25"/>
  <c r="AP124" i="25"/>
  <c r="AR238" i="25"/>
  <c r="AP238" i="25"/>
  <c r="AR192" i="25"/>
  <c r="AP192" i="25"/>
  <c r="AR54" i="25"/>
  <c r="BG54" i="25"/>
  <c r="BH54" i="25"/>
  <c r="AP54" i="25"/>
  <c r="BT54" i="25"/>
  <c r="BF54" i="25"/>
  <c r="AR60" i="25"/>
  <c r="AT60" i="25" s="1"/>
  <c r="AY60" i="25" s="1"/>
  <c r="BG60" i="25"/>
  <c r="BH60" i="25"/>
  <c r="AP60" i="25"/>
  <c r="AR169" i="25"/>
  <c r="AP169" i="25"/>
  <c r="AR308" i="25"/>
  <c r="AP308" i="25"/>
  <c r="AR161" i="25"/>
  <c r="AP161" i="25"/>
  <c r="AR177" i="25"/>
  <c r="AP177" i="25"/>
  <c r="AR278" i="25"/>
  <c r="AP278" i="25"/>
  <c r="AR115" i="25"/>
  <c r="AP115" i="25"/>
  <c r="AR258" i="25"/>
  <c r="AP258" i="25"/>
  <c r="AR61" i="25"/>
  <c r="BG61" i="25"/>
  <c r="BH61" i="25"/>
  <c r="AP61" i="25"/>
  <c r="BT61" i="25"/>
  <c r="BF61" i="25"/>
  <c r="AR288" i="25"/>
  <c r="AP288" i="25"/>
  <c r="AR71" i="25"/>
  <c r="BG71" i="25"/>
  <c r="BH71" i="25"/>
  <c r="AP71" i="25"/>
  <c r="BF71" i="25"/>
  <c r="BT71" i="25"/>
  <c r="AW34" i="25"/>
  <c r="AR208" i="25"/>
  <c r="AP208" i="25"/>
  <c r="AR128" i="25"/>
  <c r="AP128" i="25"/>
  <c r="AR84" i="25"/>
  <c r="AT84" i="25" s="1"/>
  <c r="AY84" i="25" s="1"/>
  <c r="BG84" i="25"/>
  <c r="BH84" i="25"/>
  <c r="AP84" i="25"/>
  <c r="AW16" i="25"/>
  <c r="AR29" i="25"/>
  <c r="BG29" i="25"/>
  <c r="BH29" i="25"/>
  <c r="AP29" i="25"/>
  <c r="BF29" i="25"/>
  <c r="BT29" i="25"/>
  <c r="AR217" i="25"/>
  <c r="AP217" i="25"/>
  <c r="BF98" i="25"/>
  <c r="AR38" i="25"/>
  <c r="BG38" i="25"/>
  <c r="BH38" i="25"/>
  <c r="AP38" i="25"/>
  <c r="BT38" i="25"/>
  <c r="BF38" i="25"/>
  <c r="AR55" i="25"/>
  <c r="AT55" i="25" s="1"/>
  <c r="AY55" i="25" s="1"/>
  <c r="BG55" i="25"/>
  <c r="BH55" i="25"/>
  <c r="AP55" i="25"/>
  <c r="AR41" i="25"/>
  <c r="BG41" i="25"/>
  <c r="BH41" i="25"/>
  <c r="AP41" i="25"/>
  <c r="BT41" i="25"/>
  <c r="BF41" i="25"/>
  <c r="AR194" i="25"/>
  <c r="AP194" i="25"/>
  <c r="AR22" i="25"/>
  <c r="BG22" i="25"/>
  <c r="BH22" i="25"/>
  <c r="AP22" i="25"/>
  <c r="BF22" i="25"/>
  <c r="BT22" i="25"/>
  <c r="AR260" i="25"/>
  <c r="AP260" i="25"/>
  <c r="AR74" i="25"/>
  <c r="AT74" i="25" s="1"/>
  <c r="AY74" i="25" s="1"/>
  <c r="BG74" i="25"/>
  <c r="BH74" i="25"/>
  <c r="AP74" i="25"/>
  <c r="AR286" i="25"/>
  <c r="AP286" i="25"/>
  <c r="AR264" i="25"/>
  <c r="AP264" i="25"/>
  <c r="AR155" i="25"/>
  <c r="AP155" i="25"/>
  <c r="AR153" i="25"/>
  <c r="AP153" i="25"/>
  <c r="AR135" i="25"/>
  <c r="AP135" i="25"/>
  <c r="AR242" i="25"/>
  <c r="AP242" i="25"/>
  <c r="AR99" i="25"/>
  <c r="AT99" i="25" s="1"/>
  <c r="AY99" i="25" s="1"/>
  <c r="BG99" i="25"/>
  <c r="BH99" i="25"/>
  <c r="AP99" i="25"/>
  <c r="AR132" i="25"/>
  <c r="AP132" i="25"/>
  <c r="AR111" i="25"/>
  <c r="AP111" i="25"/>
  <c r="AR44" i="25"/>
  <c r="BG44" i="25"/>
  <c r="BH44" i="25"/>
  <c r="AP44" i="25"/>
  <c r="BT44" i="25"/>
  <c r="BF44" i="25"/>
  <c r="AR312" i="25"/>
  <c r="AP312" i="25"/>
  <c r="AR80" i="25"/>
  <c r="AT80" i="25" s="1"/>
  <c r="AY80" i="25" s="1"/>
  <c r="BG80" i="25"/>
  <c r="BH80" i="25"/>
  <c r="AP80" i="25"/>
  <c r="AW32" i="25"/>
  <c r="BF55" i="25"/>
  <c r="AR147" i="25"/>
  <c r="AP147" i="25"/>
  <c r="AR237" i="25"/>
  <c r="AP237" i="25"/>
  <c r="AR225" i="25"/>
  <c r="AP225" i="25"/>
  <c r="AR255" i="25"/>
  <c r="AP255" i="25"/>
  <c r="AR298" i="25"/>
  <c r="AP298" i="25"/>
  <c r="AR82" i="25"/>
  <c r="BG82" i="25"/>
  <c r="BH82" i="25"/>
  <c r="AP82" i="25"/>
  <c r="BT82" i="25"/>
  <c r="BF82" i="25"/>
  <c r="AR30" i="25"/>
  <c r="BG30" i="25"/>
  <c r="BH30" i="25"/>
  <c r="AP30" i="25"/>
  <c r="BT30" i="25"/>
  <c r="BF30" i="25"/>
  <c r="AR88" i="25"/>
  <c r="BG88" i="25"/>
  <c r="BH88" i="25"/>
  <c r="AP88" i="25"/>
  <c r="BF88" i="25"/>
  <c r="BT88" i="25"/>
  <c r="AR201" i="25"/>
  <c r="AP201" i="25"/>
  <c r="AW74" i="25"/>
  <c r="AR306" i="25"/>
  <c r="AP306" i="25"/>
  <c r="AR21" i="25"/>
  <c r="BG21" i="25"/>
  <c r="BH21" i="25"/>
  <c r="AP21" i="25"/>
  <c r="BF21" i="25"/>
  <c r="BT21" i="25"/>
  <c r="AR284" i="25"/>
  <c r="AP284" i="25"/>
  <c r="AR305" i="25"/>
  <c r="AP305" i="25"/>
  <c r="AR236" i="25"/>
  <c r="AP236" i="25"/>
  <c r="AR83" i="25"/>
  <c r="BG83" i="25"/>
  <c r="BH83" i="25"/>
  <c r="AP83" i="25"/>
  <c r="BF83" i="25"/>
  <c r="BT83" i="25"/>
  <c r="AR246" i="25"/>
  <c r="AP246" i="25"/>
  <c r="AR220" i="25"/>
  <c r="AP220" i="25"/>
  <c r="BF99" i="25"/>
  <c r="AW99" i="25"/>
  <c r="AR140" i="25"/>
  <c r="AP140" i="25"/>
  <c r="AR47" i="25"/>
  <c r="BG47" i="25"/>
  <c r="BH47" i="25"/>
  <c r="AP47" i="25"/>
  <c r="BT47" i="25"/>
  <c r="BF47" i="25"/>
  <c r="AR179" i="25"/>
  <c r="AP179" i="25"/>
  <c r="AR195" i="25"/>
  <c r="AP195" i="25"/>
  <c r="AR142" i="25"/>
  <c r="AP142" i="25"/>
  <c r="AW84" i="25"/>
  <c r="AR268" i="25"/>
  <c r="AP268" i="25"/>
  <c r="AR261" i="25"/>
  <c r="AP261" i="25"/>
  <c r="AR37" i="25"/>
  <c r="BG37" i="25"/>
  <c r="BH37" i="25"/>
  <c r="AP37" i="25"/>
  <c r="BT37" i="25"/>
  <c r="BF37" i="25"/>
  <c r="AR25" i="25"/>
  <c r="AT25" i="25" s="1"/>
  <c r="AY25" i="25" s="1"/>
  <c r="BG25" i="25"/>
  <c r="BH25" i="25"/>
  <c r="AP25" i="25"/>
  <c r="AR100" i="25"/>
  <c r="BG100" i="25"/>
  <c r="BH100" i="25"/>
  <c r="AP100" i="25"/>
  <c r="BF100" i="25"/>
  <c r="BT100" i="25"/>
  <c r="AR223" i="25"/>
  <c r="AP223" i="25"/>
  <c r="AR240" i="25"/>
  <c r="AP240" i="25"/>
  <c r="AR297" i="25"/>
  <c r="AP297" i="25"/>
  <c r="AR218" i="25"/>
  <c r="AP218" i="25"/>
  <c r="AR302" i="25"/>
  <c r="AP302" i="25"/>
  <c r="AR141" i="25"/>
  <c r="AP141" i="25"/>
  <c r="AR303" i="25"/>
  <c r="AP303" i="25"/>
  <c r="AW66" i="25"/>
  <c r="AR279" i="25"/>
  <c r="AP279" i="25"/>
  <c r="AR10" i="25"/>
  <c r="AT10" i="25" s="1"/>
  <c r="AY10" i="25" s="1"/>
  <c r="BG10" i="25"/>
  <c r="BH10" i="25"/>
  <c r="AP10" i="25"/>
  <c r="AR67" i="25"/>
  <c r="BG67" i="25"/>
  <c r="BH67" i="25"/>
  <c r="AP67" i="25"/>
  <c r="BT67" i="25"/>
  <c r="BF67" i="25"/>
  <c r="AR90" i="25"/>
  <c r="AT90" i="25" s="1"/>
  <c r="AY90" i="25" s="1"/>
  <c r="BG90" i="25"/>
  <c r="BH90" i="25"/>
  <c r="AP90" i="25"/>
  <c r="AR69" i="25"/>
  <c r="BG69" i="25"/>
  <c r="BH69" i="25"/>
  <c r="AP69" i="25"/>
  <c r="BT69" i="25"/>
  <c r="BF69" i="25"/>
  <c r="AR114" i="25"/>
  <c r="AP114" i="25"/>
  <c r="AR296" i="25"/>
  <c r="AP296" i="25"/>
  <c r="AR105" i="25"/>
  <c r="BG105" i="25"/>
  <c r="BH105" i="25"/>
  <c r="AP105" i="25"/>
  <c r="BF105" i="25"/>
  <c r="BT105" i="25"/>
  <c r="AR149" i="25"/>
  <c r="AP149" i="25"/>
  <c r="AR28" i="25"/>
  <c r="BG28" i="25"/>
  <c r="BH28" i="25"/>
  <c r="AP28" i="25"/>
  <c r="BT28" i="25"/>
  <c r="BF28" i="25"/>
  <c r="AR126" i="25"/>
  <c r="AP126" i="25"/>
  <c r="AR200" i="25"/>
  <c r="AP200" i="25"/>
  <c r="AR18" i="25"/>
  <c r="AT18" i="25" s="1"/>
  <c r="AY18" i="25" s="1"/>
  <c r="BG18" i="25"/>
  <c r="BH18" i="25"/>
  <c r="AP18" i="25"/>
  <c r="AR158" i="25"/>
  <c r="AP158" i="25"/>
  <c r="AR290" i="25"/>
  <c r="AP290" i="25"/>
  <c r="AR295" i="25"/>
  <c r="AP295" i="25"/>
  <c r="AR245" i="25"/>
  <c r="AP245" i="25"/>
  <c r="BF25" i="25"/>
  <c r="AR233" i="25"/>
  <c r="AP233" i="25"/>
  <c r="AR273" i="25"/>
  <c r="AP273" i="25"/>
  <c r="AR313" i="25"/>
  <c r="AP313" i="25"/>
  <c r="AR222" i="25"/>
  <c r="AP222" i="25"/>
  <c r="AR121" i="25"/>
  <c r="AP121" i="25"/>
  <c r="AR131" i="25"/>
  <c r="AP131" i="25"/>
  <c r="AW33" i="25"/>
  <c r="AR139" i="25"/>
  <c r="AP139" i="25"/>
  <c r="AW90" i="25"/>
  <c r="AR180" i="25"/>
  <c r="AP180" i="25"/>
  <c r="AR113" i="25"/>
  <c r="AP113" i="25"/>
  <c r="AR56" i="25"/>
  <c r="BG56" i="25"/>
  <c r="BH56" i="25"/>
  <c r="AP56" i="25"/>
  <c r="BF56" i="25"/>
  <c r="BT56" i="25"/>
  <c r="AR272" i="25"/>
  <c r="AP272" i="25"/>
  <c r="AR14" i="25"/>
  <c r="BG14" i="25"/>
  <c r="BH14" i="25"/>
  <c r="AP14" i="25"/>
  <c r="BF14" i="25"/>
  <c r="BT14" i="25"/>
  <c r="AR93" i="25"/>
  <c r="BG93" i="25"/>
  <c r="BH93" i="25"/>
  <c r="AP93" i="25"/>
  <c r="BF93" i="25"/>
  <c r="BT93" i="25"/>
  <c r="AR269" i="25"/>
  <c r="AP269" i="25"/>
  <c r="AR254" i="25"/>
  <c r="AP254" i="25"/>
  <c r="AR136" i="25"/>
  <c r="AP136" i="25"/>
  <c r="AR138" i="25"/>
  <c r="AP138" i="25"/>
  <c r="AR116" i="25"/>
  <c r="AP116" i="25"/>
  <c r="AR156" i="25"/>
  <c r="AP156" i="25"/>
  <c r="AR224" i="25"/>
  <c r="AP224" i="25"/>
  <c r="AR189" i="25"/>
  <c r="AP189" i="25"/>
  <c r="AR265" i="25"/>
  <c r="AP265" i="25"/>
  <c r="AR91" i="25"/>
  <c r="BG91" i="25"/>
  <c r="BH91" i="25"/>
  <c r="AP91" i="25"/>
  <c r="BT91" i="25"/>
  <c r="BF91" i="25"/>
  <c r="AR304" i="25"/>
  <c r="AP304" i="25"/>
  <c r="AR134" i="25"/>
  <c r="AP134" i="25"/>
  <c r="AR190" i="25"/>
  <c r="AP190" i="25"/>
  <c r="AR68" i="25"/>
  <c r="BG68" i="25"/>
  <c r="BH68" i="25"/>
  <c r="AP68" i="25"/>
  <c r="BT68" i="25"/>
  <c r="BF68" i="25"/>
  <c r="AR199" i="25"/>
  <c r="AP199" i="25"/>
  <c r="AR207" i="25"/>
  <c r="AP207" i="25"/>
  <c r="AR86" i="25"/>
  <c r="BG86" i="25"/>
  <c r="BH86" i="25"/>
  <c r="AP86" i="25"/>
  <c r="BT86" i="25"/>
  <c r="BF86" i="25"/>
  <c r="AR256" i="25"/>
  <c r="AP256" i="25"/>
  <c r="AR281" i="25"/>
  <c r="AP281" i="25"/>
  <c r="AR197" i="25"/>
  <c r="AP197" i="25"/>
  <c r="AR183" i="25"/>
  <c r="AP183" i="25"/>
  <c r="AR274" i="25"/>
  <c r="AP274" i="25"/>
  <c r="AR148" i="25"/>
  <c r="AP148" i="25"/>
  <c r="AR13" i="25"/>
  <c r="BG13" i="25"/>
  <c r="BH13" i="25"/>
  <c r="AP13" i="25"/>
  <c r="BT13" i="25"/>
  <c r="BF13" i="25"/>
  <c r="AR253" i="25"/>
  <c r="AP253" i="25"/>
  <c r="AR24" i="25"/>
  <c r="BG24" i="25"/>
  <c r="BH24" i="25"/>
  <c r="AP24" i="25"/>
  <c r="BT24" i="25"/>
  <c r="BF24" i="25"/>
  <c r="AR289" i="25"/>
  <c r="AP289" i="25"/>
  <c r="AR181" i="25"/>
  <c r="AP181" i="25"/>
  <c r="AR65" i="25"/>
  <c r="AT65" i="25" s="1"/>
  <c r="AY65" i="25" s="1"/>
  <c r="BG65" i="25"/>
  <c r="BH65" i="25"/>
  <c r="AP65" i="25"/>
  <c r="AW80" i="25"/>
  <c r="AR45" i="25"/>
  <c r="AT45" i="25" s="1"/>
  <c r="AY45" i="25" s="1"/>
  <c r="BG45" i="25"/>
  <c r="BH45" i="25"/>
  <c r="AP45" i="25"/>
  <c r="AR234" i="25"/>
  <c r="AP234" i="25"/>
  <c r="AR188" i="25"/>
  <c r="AP188" i="25"/>
  <c r="AR129" i="25"/>
  <c r="AP129" i="25"/>
  <c r="AR314" i="25"/>
  <c r="AP314" i="25"/>
  <c r="AR152" i="25"/>
  <c r="AP152" i="25"/>
  <c r="AR34" i="25"/>
  <c r="AT34" i="25" s="1"/>
  <c r="AY34" i="25" s="1"/>
  <c r="BG34" i="25"/>
  <c r="BH34" i="25"/>
  <c r="AP34" i="25"/>
  <c r="AW45" i="25"/>
  <c r="AW43" i="25"/>
  <c r="AR87" i="25"/>
  <c r="BG87" i="25"/>
  <c r="BH87" i="25"/>
  <c r="AP87" i="25"/>
  <c r="BF87" i="25"/>
  <c r="BT87" i="25"/>
  <c r="AR31" i="25"/>
  <c r="BG31" i="25"/>
  <c r="BH31" i="25"/>
  <c r="AP31" i="25"/>
  <c r="BT31" i="25"/>
  <c r="BF31" i="25"/>
  <c r="AR259" i="25"/>
  <c r="AP259" i="25"/>
  <c r="AR94" i="25"/>
  <c r="BG94" i="25"/>
  <c r="BH94" i="25"/>
  <c r="AP94" i="25"/>
  <c r="BF94" i="25"/>
  <c r="BT94" i="25"/>
  <c r="AR42" i="25"/>
  <c r="BG42" i="25"/>
  <c r="BH42" i="25"/>
  <c r="AP42" i="25"/>
  <c r="BF42" i="25"/>
  <c r="BT42" i="25"/>
  <c r="AR294" i="25"/>
  <c r="AP294" i="25"/>
  <c r="AW85" i="25"/>
  <c r="AR232" i="25"/>
  <c r="AP232" i="25"/>
  <c r="AR77" i="25"/>
  <c r="AT77" i="25" s="1"/>
  <c r="AY77" i="25" s="1"/>
  <c r="BG77" i="25"/>
  <c r="BH77" i="25"/>
  <c r="AP77" i="25"/>
  <c r="AR299" i="25"/>
  <c r="AP299" i="25"/>
  <c r="AR243" i="25"/>
  <c r="AP243" i="25"/>
  <c r="AR226" i="25"/>
  <c r="AP226" i="25"/>
  <c r="AR316" i="25"/>
  <c r="AP316" i="25"/>
  <c r="AR167" i="25"/>
  <c r="AP167" i="25"/>
  <c r="AR283" i="25"/>
  <c r="AP283" i="25"/>
  <c r="AR203" i="25"/>
  <c r="AP203" i="25"/>
  <c r="AR96" i="25"/>
  <c r="BG96" i="25"/>
  <c r="BH96" i="25"/>
  <c r="AP96" i="25"/>
  <c r="BF96" i="25"/>
  <c r="BT96" i="25"/>
  <c r="AR154" i="25"/>
  <c r="AP154" i="25"/>
  <c r="AR19" i="25"/>
  <c r="AT19" i="25" s="1"/>
  <c r="AY19" i="25" s="1"/>
  <c r="BG19" i="25"/>
  <c r="BH19" i="25"/>
  <c r="AP19" i="25"/>
  <c r="AR52" i="25"/>
  <c r="BG52" i="25"/>
  <c r="BH52" i="25"/>
  <c r="AP52" i="25"/>
  <c r="BT52" i="25"/>
  <c r="BF52" i="25"/>
  <c r="BF65" i="25"/>
  <c r="AW50" i="25"/>
  <c r="AR119" i="25"/>
  <c r="AP119" i="25"/>
  <c r="AR101" i="25"/>
  <c r="BG101" i="25"/>
  <c r="BH101" i="25"/>
  <c r="AP101" i="25"/>
  <c r="BT101" i="25"/>
  <c r="BF101" i="25"/>
  <c r="AR144" i="25"/>
  <c r="AP144" i="25"/>
  <c r="AW19" i="25"/>
  <c r="AR263" i="25"/>
  <c r="AP263" i="25"/>
  <c r="AW89" i="25"/>
  <c r="AR239" i="25"/>
  <c r="AP239" i="25"/>
  <c r="AR249" i="25"/>
  <c r="AP249" i="25"/>
  <c r="AR97" i="25"/>
  <c r="BG97" i="25"/>
  <c r="BH97" i="25"/>
  <c r="AP97" i="25"/>
  <c r="BT97" i="25"/>
  <c r="BF97" i="25"/>
  <c r="AR241" i="25"/>
  <c r="AP241" i="25"/>
  <c r="AR287" i="25"/>
  <c r="AP287" i="25"/>
  <c r="AR89" i="25"/>
  <c r="AT89" i="25" s="1"/>
  <c r="AY89" i="25" s="1"/>
  <c r="BG89" i="25"/>
  <c r="BH89" i="25"/>
  <c r="AP89" i="25"/>
  <c r="AR276" i="25"/>
  <c r="AP276" i="25"/>
  <c r="AR184" i="25"/>
  <c r="AP184" i="25"/>
  <c r="BT45" i="25"/>
  <c r="AW98" i="25"/>
  <c r="BT73" i="25"/>
  <c r="AR182" i="25"/>
  <c r="AP182" i="25"/>
  <c r="AR35" i="25"/>
  <c r="BG35" i="25"/>
  <c r="BH35" i="25"/>
  <c r="AP35" i="25"/>
  <c r="BT35" i="25"/>
  <c r="BF35" i="25"/>
  <c r="AR57" i="25"/>
  <c r="AT57" i="25" s="1"/>
  <c r="AY57" i="25" s="1"/>
  <c r="BG57" i="25"/>
  <c r="BH57" i="25"/>
  <c r="AP57" i="25"/>
  <c r="AW46" i="25"/>
  <c r="AR310" i="25"/>
  <c r="AP310" i="25"/>
  <c r="BF57" i="25"/>
  <c r="AR159" i="25"/>
  <c r="AP159" i="25"/>
  <c r="BT60" i="25"/>
  <c r="AR59" i="25"/>
  <c r="BG59" i="25"/>
  <c r="BH59" i="25"/>
  <c r="AP59" i="25"/>
  <c r="BT59" i="25"/>
  <c r="BF59" i="25"/>
  <c r="AR162" i="25"/>
  <c r="AP162" i="25"/>
  <c r="AR275" i="25"/>
  <c r="AP275" i="25"/>
  <c r="AR315" i="25"/>
  <c r="AP315" i="25"/>
  <c r="BT77" i="25"/>
  <c r="BF85" i="25"/>
  <c r="AR219" i="25"/>
  <c r="AP219" i="25"/>
  <c r="AR123" i="25"/>
  <c r="AP123" i="25"/>
  <c r="AR300" i="25"/>
  <c r="AP300" i="25"/>
  <c r="AR33" i="25"/>
  <c r="AT33" i="25" s="1"/>
  <c r="AY33" i="25" s="1"/>
  <c r="BG33" i="25"/>
  <c r="BH33" i="25"/>
  <c r="AP33" i="25"/>
  <c r="AR50" i="25"/>
  <c r="AT50" i="25" s="1"/>
  <c r="AY50" i="25" s="1"/>
  <c r="BG50" i="25"/>
  <c r="BH50" i="25"/>
  <c r="AP50" i="25"/>
  <c r="AR301" i="25"/>
  <c r="AP301" i="25"/>
  <c r="AR63" i="25"/>
  <c r="BG63" i="25"/>
  <c r="BH63" i="25"/>
  <c r="AP63" i="25"/>
  <c r="BF63" i="25"/>
  <c r="BT63" i="25"/>
  <c r="AR146" i="25"/>
  <c r="AP146" i="25"/>
  <c r="AW7" i="25"/>
  <c r="AR262" i="25"/>
  <c r="AP262" i="25"/>
  <c r="AW55" i="25"/>
  <c r="AR205" i="25"/>
  <c r="AP205" i="25"/>
  <c r="AR175" i="25"/>
  <c r="AP175" i="25"/>
  <c r="AR163" i="25"/>
  <c r="AP163" i="25"/>
  <c r="AR172" i="25"/>
  <c r="AP172" i="25"/>
  <c r="AR248" i="25"/>
  <c r="AP248" i="25"/>
  <c r="AR209" i="25"/>
  <c r="AP209" i="25"/>
  <c r="AR48" i="25"/>
  <c r="BG48" i="25"/>
  <c r="BH48" i="25"/>
  <c r="AP48" i="25"/>
  <c r="BF48" i="25"/>
  <c r="BT48" i="25"/>
  <c r="AR235" i="25"/>
  <c r="AP235" i="25"/>
  <c r="BF74" i="25"/>
  <c r="BT99" i="25"/>
  <c r="AW95" i="25"/>
  <c r="AR187" i="25"/>
  <c r="AP187" i="25"/>
  <c r="AR23" i="25"/>
  <c r="AT23" i="25" s="1"/>
  <c r="AY23" i="25" s="1"/>
  <c r="BG23" i="25"/>
  <c r="BH23" i="25"/>
  <c r="AP23" i="25"/>
  <c r="AR46" i="25"/>
  <c r="AT46" i="25" s="1"/>
  <c r="AY46" i="25" s="1"/>
  <c r="BG46" i="25"/>
  <c r="BH46" i="25"/>
  <c r="AP46" i="25"/>
  <c r="AR130" i="25"/>
  <c r="AP130" i="25"/>
  <c r="AR76" i="25"/>
  <c r="BG76" i="25"/>
  <c r="BH76" i="25"/>
  <c r="AP76" i="25"/>
  <c r="BT76" i="25"/>
  <c r="BF76" i="25"/>
  <c r="AR36" i="25"/>
  <c r="BG36" i="25"/>
  <c r="BH36" i="25"/>
  <c r="AP36" i="25"/>
  <c r="BF36" i="25"/>
  <c r="BT36" i="25"/>
  <c r="AW39" i="25"/>
  <c r="BT84" i="25"/>
  <c r="AW75" i="25"/>
  <c r="AW65" i="25"/>
  <c r="AR12" i="25"/>
  <c r="BG12" i="25"/>
  <c r="BH12" i="25"/>
  <c r="AP12" i="25"/>
  <c r="BT12" i="25"/>
  <c r="BF12" i="25"/>
  <c r="BG6" i="25"/>
  <c r="AR6" i="25"/>
  <c r="BH6" i="25"/>
  <c r="AP6" i="25"/>
  <c r="BF6" i="25"/>
  <c r="BT6" i="25"/>
  <c r="AR280" i="25"/>
  <c r="AP280" i="25"/>
  <c r="AR185" i="25"/>
  <c r="AP185" i="25"/>
  <c r="AR62" i="25"/>
  <c r="BG62" i="25"/>
  <c r="BH62" i="25"/>
  <c r="AP62" i="25"/>
  <c r="BT62" i="25"/>
  <c r="BF62" i="25"/>
  <c r="AR227" i="25"/>
  <c r="AP227" i="25"/>
  <c r="AR198" i="25"/>
  <c r="AP198" i="25"/>
  <c r="AR133" i="25"/>
  <c r="AP133" i="25"/>
  <c r="AR43" i="25"/>
  <c r="AT43" i="25" s="1"/>
  <c r="AY43" i="25" s="1"/>
  <c r="BG43" i="25"/>
  <c r="BH43" i="25"/>
  <c r="AP43" i="25"/>
  <c r="AR221" i="25"/>
  <c r="AP221" i="25"/>
  <c r="AR122" i="25"/>
  <c r="AP122" i="25"/>
  <c r="AR168" i="25"/>
  <c r="AP168" i="25"/>
  <c r="BT19" i="25"/>
  <c r="AR11" i="25"/>
  <c r="BG11" i="25"/>
  <c r="BH11" i="25"/>
  <c r="AP11" i="25"/>
  <c r="BT11" i="25"/>
  <c r="BF11" i="25"/>
  <c r="BF80" i="25"/>
  <c r="AR104" i="25"/>
  <c r="BG104" i="25"/>
  <c r="BH104" i="25"/>
  <c r="AP104" i="25"/>
  <c r="BT104" i="25"/>
  <c r="BF104" i="25"/>
  <c r="BG9" i="25"/>
  <c r="AR9" i="25"/>
  <c r="BH9" i="25"/>
  <c r="AP9" i="25"/>
  <c r="BF9" i="25"/>
  <c r="BT9" i="25"/>
  <c r="AR32" i="25"/>
  <c r="AT32" i="25" s="1"/>
  <c r="AY32" i="25" s="1"/>
  <c r="BG32" i="25"/>
  <c r="BH32" i="25"/>
  <c r="AP32" i="25"/>
  <c r="AR92" i="25"/>
  <c r="BG92" i="25"/>
  <c r="BH92" i="25"/>
  <c r="AP92" i="25"/>
  <c r="BF92" i="25"/>
  <c r="BT92" i="25"/>
  <c r="AR277" i="25"/>
  <c r="AP277" i="25"/>
  <c r="AR58" i="25"/>
  <c r="AT58" i="25" s="1"/>
  <c r="AY58" i="25" s="1"/>
  <c r="BG58" i="25"/>
  <c r="BH58" i="25"/>
  <c r="AP58" i="25"/>
  <c r="BT34" i="25"/>
  <c r="AR72" i="25"/>
  <c r="AT72" i="25" s="1"/>
  <c r="AY72" i="25" s="1"/>
  <c r="BG72" i="25"/>
  <c r="BH72" i="25"/>
  <c r="AP72" i="25"/>
  <c r="AR117" i="25"/>
  <c r="AP117" i="25"/>
  <c r="AR160" i="25"/>
  <c r="AP160" i="25"/>
  <c r="AR49" i="25"/>
  <c r="BG49" i="25"/>
  <c r="BH49" i="25"/>
  <c r="AP49" i="25"/>
  <c r="BF49" i="25"/>
  <c r="BT49" i="25"/>
  <c r="AR291" i="25"/>
  <c r="AP291" i="25"/>
  <c r="AR191" i="25"/>
  <c r="AP191" i="25"/>
  <c r="AR150" i="25"/>
  <c r="AP150" i="25"/>
  <c r="AR75" i="25"/>
  <c r="AT75" i="25" s="1"/>
  <c r="AY75" i="25" s="1"/>
  <c r="BG75" i="25"/>
  <c r="BH75" i="25"/>
  <c r="AP75" i="25"/>
  <c r="AR151" i="25"/>
  <c r="AP151" i="25"/>
  <c r="AR266" i="25"/>
  <c r="AP266" i="25"/>
  <c r="AR171" i="25"/>
  <c r="AP171" i="25"/>
  <c r="AR95" i="25"/>
  <c r="AT95" i="25" s="1"/>
  <c r="AY95" i="25" s="1"/>
  <c r="BG95" i="25"/>
  <c r="BH95" i="25"/>
  <c r="AP95" i="25"/>
  <c r="AR112" i="25"/>
  <c r="AP112" i="25"/>
  <c r="AR7" i="25"/>
  <c r="AT7" i="25" s="1"/>
  <c r="AY7" i="25" s="1"/>
  <c r="BG7" i="25"/>
  <c r="BH7" i="25"/>
  <c r="AP7" i="25"/>
  <c r="AR51" i="25"/>
  <c r="BG51" i="25"/>
  <c r="BH51" i="25"/>
  <c r="AP51" i="25"/>
  <c r="BT51" i="25"/>
  <c r="BF51" i="25"/>
  <c r="AR270" i="25"/>
  <c r="AP270" i="25"/>
  <c r="AR282" i="25"/>
  <c r="AP282" i="25"/>
  <c r="AR186" i="25"/>
  <c r="AP186" i="25"/>
  <c r="BF45" i="25"/>
  <c r="AR64" i="25"/>
  <c r="BG64" i="25"/>
  <c r="BH64" i="25"/>
  <c r="AP64" i="25"/>
  <c r="BT64" i="25"/>
  <c r="BF64" i="25"/>
  <c r="AW25" i="25"/>
  <c r="BF73" i="25"/>
  <c r="AR252" i="25"/>
  <c r="AP252" i="25"/>
  <c r="AR16" i="25"/>
  <c r="AT16" i="25" s="1"/>
  <c r="AY16" i="25" s="1"/>
  <c r="BG16" i="25"/>
  <c r="BH16" i="25"/>
  <c r="AP16" i="25"/>
  <c r="AR251" i="25"/>
  <c r="AP251" i="25"/>
  <c r="AR20" i="25"/>
  <c r="BG20" i="25"/>
  <c r="BH20" i="25"/>
  <c r="AP20" i="25"/>
  <c r="BT20" i="25"/>
  <c r="BF20" i="25"/>
  <c r="AR39" i="25"/>
  <c r="AT39" i="25" s="1"/>
  <c r="AY39" i="25" s="1"/>
  <c r="BG39" i="25"/>
  <c r="BH39" i="25"/>
  <c r="AP39" i="25"/>
  <c r="AR53" i="25"/>
  <c r="BG53" i="25"/>
  <c r="BH53" i="25"/>
  <c r="AP53" i="25"/>
  <c r="BT53" i="25"/>
  <c r="BF53" i="25"/>
  <c r="AR78" i="25"/>
  <c r="BG78" i="25"/>
  <c r="BH78" i="25"/>
  <c r="AP78" i="25"/>
  <c r="BF78" i="25"/>
  <c r="BT78" i="25"/>
  <c r="AR250" i="25"/>
  <c r="AP250" i="25"/>
  <c r="AR66" i="25"/>
  <c r="AT66" i="25" s="1"/>
  <c r="AY66" i="25" s="1"/>
  <c r="BG66" i="25"/>
  <c r="BH66" i="25"/>
  <c r="AP66" i="25"/>
  <c r="AR17" i="25"/>
  <c r="BG17" i="25"/>
  <c r="BH17" i="25"/>
  <c r="AP17" i="25"/>
  <c r="BT17" i="25"/>
  <c r="BF17" i="25"/>
  <c r="AW58" i="25"/>
  <c r="BF23" i="25"/>
  <c r="AR178" i="25"/>
  <c r="AP178" i="25"/>
  <c r="AR210" i="25"/>
  <c r="AP210" i="25"/>
  <c r="AR15" i="25"/>
  <c r="BG15" i="25"/>
  <c r="BH15" i="25"/>
  <c r="AP15" i="25"/>
  <c r="BF15" i="25"/>
  <c r="BT15" i="25"/>
  <c r="AR157" i="25"/>
  <c r="AP157" i="25"/>
  <c r="AW57" i="25"/>
  <c r="AR103" i="25"/>
  <c r="BG103" i="25"/>
  <c r="BH103" i="25"/>
  <c r="AP103" i="25"/>
  <c r="BT103" i="25"/>
  <c r="BF103" i="25"/>
  <c r="AR311" i="25"/>
  <c r="AP311" i="25"/>
  <c r="AW60" i="25"/>
  <c r="AR173" i="25"/>
  <c r="AP173" i="25"/>
  <c r="AR26" i="25"/>
  <c r="BG26" i="25"/>
  <c r="BH26" i="25"/>
  <c r="AP26" i="25"/>
  <c r="BF26" i="25"/>
  <c r="BT26" i="25"/>
  <c r="AR127" i="25"/>
  <c r="AP127" i="25"/>
  <c r="AR293" i="25"/>
  <c r="AP293" i="25"/>
  <c r="BT10" i="25"/>
  <c r="AR174" i="25"/>
  <c r="AP174" i="25"/>
  <c r="BT19" i="24"/>
  <c r="BT36" i="24"/>
  <c r="BT40" i="24"/>
  <c r="BT18" i="24"/>
  <c r="BH82" i="24"/>
  <c r="BT82" i="24"/>
  <c r="BH68" i="24"/>
  <c r="BT68" i="24"/>
  <c r="BH83" i="24"/>
  <c r="BT83" i="24"/>
  <c r="BH89" i="24"/>
  <c r="BT89" i="24"/>
  <c r="BH79" i="24"/>
  <c r="BT79" i="24"/>
  <c r="BH32" i="24"/>
  <c r="BT32" i="24"/>
  <c r="BH56" i="24"/>
  <c r="BT56" i="24"/>
  <c r="BH63" i="24"/>
  <c r="BT63" i="24"/>
  <c r="BH29" i="24"/>
  <c r="BT29" i="24"/>
  <c r="BT46" i="24"/>
  <c r="BH74" i="24"/>
  <c r="BT74" i="24"/>
  <c r="BH59" i="24"/>
  <c r="BT59" i="24"/>
  <c r="BH96" i="24"/>
  <c r="BT96" i="24"/>
  <c r="BH31" i="24"/>
  <c r="BT31" i="24"/>
  <c r="BH100" i="24"/>
  <c r="BT100" i="24"/>
  <c r="BH54" i="24"/>
  <c r="BT54" i="24"/>
  <c r="BH92" i="24"/>
  <c r="BT92" i="24"/>
  <c r="BH72" i="24"/>
  <c r="BT72" i="24"/>
  <c r="BH42" i="24"/>
  <c r="BT42" i="24"/>
  <c r="BT21" i="24"/>
  <c r="BT28" i="24"/>
  <c r="BH85" i="24"/>
  <c r="AS40" i="24"/>
  <c r="BI32" i="24"/>
  <c r="AS32" i="24"/>
  <c r="AW32" i="24" s="1"/>
  <c r="AY32" i="24" s="1"/>
  <c r="AZ32" i="24" s="1"/>
  <c r="BJ32" i="24"/>
  <c r="AQ40" i="24"/>
  <c r="BI40" i="24"/>
  <c r="BJ40" i="24"/>
  <c r="AQ32" i="24"/>
  <c r="AS201" i="24"/>
  <c r="AQ201" i="24"/>
  <c r="AS202" i="24"/>
  <c r="AQ202" i="24"/>
  <c r="CD208" i="24"/>
  <c r="AS200" i="24"/>
  <c r="CD200" i="24"/>
  <c r="AS197" i="24"/>
  <c r="AQ197" i="24"/>
  <c r="AS185" i="24"/>
  <c r="AQ185" i="24"/>
  <c r="AS183" i="24"/>
  <c r="AQ183" i="24"/>
  <c r="AS187" i="24"/>
  <c r="AQ187" i="24"/>
  <c r="AS190" i="24"/>
  <c r="AQ190" i="24"/>
  <c r="BH18" i="24"/>
  <c r="BI53" i="24"/>
  <c r="BH53" i="24"/>
  <c r="BJ56" i="24"/>
  <c r="BI56" i="24"/>
  <c r="BJ63" i="24"/>
  <c r="BI63" i="24"/>
  <c r="BJ29" i="24"/>
  <c r="BI29" i="24"/>
  <c r="BJ100" i="24"/>
  <c r="BI100" i="24"/>
  <c r="BJ36" i="24"/>
  <c r="BI36" i="24"/>
  <c r="BJ54" i="24"/>
  <c r="BI54" i="24"/>
  <c r="BJ92" i="24"/>
  <c r="BI92" i="24"/>
  <c r="BJ72" i="24"/>
  <c r="BI72" i="24"/>
  <c r="BJ85" i="24"/>
  <c r="BI85" i="24"/>
  <c r="BJ42" i="24"/>
  <c r="BI42" i="24"/>
  <c r="BJ82" i="24"/>
  <c r="BI82" i="24"/>
  <c r="BJ74" i="24"/>
  <c r="BI74" i="24"/>
  <c r="BJ68" i="24"/>
  <c r="BI68" i="24"/>
  <c r="BJ59" i="24"/>
  <c r="BI59" i="24"/>
  <c r="BJ96" i="24"/>
  <c r="BI96" i="24"/>
  <c r="BJ83" i="24"/>
  <c r="BI83" i="24"/>
  <c r="BJ28" i="24"/>
  <c r="BI28" i="24"/>
  <c r="BJ89" i="24"/>
  <c r="BI89" i="24"/>
  <c r="BJ21" i="24"/>
  <c r="BI21" i="24"/>
  <c r="BJ46" i="24"/>
  <c r="BI46" i="24"/>
  <c r="BJ79" i="24"/>
  <c r="BI79" i="24"/>
  <c r="BJ19" i="24"/>
  <c r="BI19" i="24"/>
  <c r="BJ31" i="24"/>
  <c r="BI31" i="24"/>
  <c r="AQ18" i="24"/>
  <c r="BJ18" i="24"/>
  <c r="AS53" i="24"/>
  <c r="AW53" i="24" s="1"/>
  <c r="AY53" i="24" s="1"/>
  <c r="AZ53" i="24" s="1"/>
  <c r="BJ53" i="24"/>
  <c r="AS18" i="24"/>
  <c r="AQ53" i="24"/>
  <c r="AQ100" i="24"/>
  <c r="AS100" i="24"/>
  <c r="AQ36" i="24"/>
  <c r="AS36" i="24"/>
  <c r="AQ257" i="24"/>
  <c r="AS257" i="24"/>
  <c r="AQ304" i="24"/>
  <c r="AS304" i="24"/>
  <c r="AQ249" i="24"/>
  <c r="AS249" i="24"/>
  <c r="AQ310" i="24"/>
  <c r="AS310" i="24"/>
  <c r="AQ288" i="24"/>
  <c r="AS288" i="24"/>
  <c r="AQ248" i="24"/>
  <c r="AS248" i="24"/>
  <c r="AQ247" i="24"/>
  <c r="AS247" i="24"/>
  <c r="AQ245" i="24"/>
  <c r="AS245" i="24"/>
  <c r="AQ126" i="24"/>
  <c r="AS126" i="24"/>
  <c r="AQ164" i="24"/>
  <c r="AS164" i="24"/>
  <c r="AQ142" i="24"/>
  <c r="AS142" i="24"/>
  <c r="AQ135" i="24"/>
  <c r="AS135" i="24"/>
  <c r="AQ137" i="24"/>
  <c r="AS137" i="24"/>
  <c r="AQ179" i="24"/>
  <c r="AS179" i="24"/>
  <c r="AQ85" i="24"/>
  <c r="AS85" i="24"/>
  <c r="AQ42" i="24"/>
  <c r="AS42" i="24"/>
  <c r="AQ230" i="24"/>
  <c r="AS230" i="24"/>
  <c r="AQ280" i="24"/>
  <c r="AS280" i="24"/>
  <c r="AQ240" i="24"/>
  <c r="AS240" i="24"/>
  <c r="AQ276" i="24"/>
  <c r="AS276" i="24"/>
  <c r="AQ219" i="24"/>
  <c r="AS219" i="24"/>
  <c r="AQ271" i="24"/>
  <c r="AS271" i="24"/>
  <c r="AQ282" i="24"/>
  <c r="AS282" i="24"/>
  <c r="AQ220" i="24"/>
  <c r="AS220" i="24"/>
  <c r="AQ243" i="24"/>
  <c r="AS243" i="24"/>
  <c r="AQ275" i="24"/>
  <c r="AS275" i="24"/>
  <c r="AQ270" i="24"/>
  <c r="AS270" i="24"/>
  <c r="AQ235" i="24"/>
  <c r="AS235" i="24"/>
  <c r="AQ221" i="24"/>
  <c r="AS221" i="24"/>
  <c r="AQ59" i="24"/>
  <c r="AS59" i="24"/>
  <c r="AQ96" i="24"/>
  <c r="AS96" i="24"/>
  <c r="AQ173" i="24"/>
  <c r="AS173" i="24"/>
  <c r="AQ120" i="24"/>
  <c r="AS120" i="24"/>
  <c r="AQ138" i="24"/>
  <c r="AS138" i="24"/>
  <c r="AQ127" i="24"/>
  <c r="AS127" i="24"/>
  <c r="AQ178" i="24"/>
  <c r="AS178" i="24"/>
  <c r="AQ28" i="24"/>
  <c r="AS28" i="24"/>
  <c r="AQ89" i="24"/>
  <c r="AS89" i="24"/>
  <c r="AQ21" i="24"/>
  <c r="AS21" i="24"/>
  <c r="AQ268" i="24"/>
  <c r="AS268" i="24"/>
  <c r="AQ254" i="24"/>
  <c r="AS254" i="24"/>
  <c r="AQ299" i="24"/>
  <c r="AS299" i="24"/>
  <c r="AQ293" i="24"/>
  <c r="AS293" i="24"/>
  <c r="AQ251" i="24"/>
  <c r="AS251" i="24"/>
  <c r="AQ294" i="24"/>
  <c r="AS294" i="24"/>
  <c r="AQ229" i="24"/>
  <c r="AS229" i="24"/>
  <c r="AQ252" i="24"/>
  <c r="AS252" i="24"/>
  <c r="AQ273" i="24"/>
  <c r="AS273" i="24"/>
  <c r="AQ244" i="24"/>
  <c r="AS244" i="24"/>
  <c r="AQ253" i="24"/>
  <c r="AS253" i="24"/>
  <c r="AQ259" i="24"/>
  <c r="AS259" i="24"/>
  <c r="AQ279" i="24"/>
  <c r="AS279" i="24"/>
  <c r="AQ274" i="24"/>
  <c r="AS274" i="24"/>
  <c r="AQ267" i="24"/>
  <c r="AS267" i="24"/>
  <c r="AQ246" i="24"/>
  <c r="AS246" i="24"/>
  <c r="AQ223" i="24"/>
  <c r="AS223" i="24"/>
  <c r="AQ216" i="24"/>
  <c r="AS216" i="24"/>
  <c r="AQ222" i="24"/>
  <c r="AS222" i="24"/>
  <c r="AQ46" i="24"/>
  <c r="AS46" i="24"/>
  <c r="AQ139" i="24"/>
  <c r="AS139" i="24"/>
  <c r="AQ148" i="24"/>
  <c r="AS148" i="24"/>
  <c r="AQ300" i="24"/>
  <c r="AS300" i="24"/>
  <c r="AQ79" i="24"/>
  <c r="AS79" i="24"/>
  <c r="AQ171" i="24"/>
  <c r="AS171" i="24"/>
  <c r="AQ145" i="24"/>
  <c r="AS145" i="24"/>
  <c r="AQ19" i="24"/>
  <c r="AS19" i="24"/>
  <c r="AQ31" i="24"/>
  <c r="AS31" i="24"/>
  <c r="AQ283" i="24"/>
  <c r="AS283" i="24"/>
  <c r="AQ301" i="24"/>
  <c r="AS301" i="24"/>
  <c r="AQ314" i="24"/>
  <c r="AS314" i="24"/>
  <c r="AQ261" i="24"/>
  <c r="AS261" i="24"/>
  <c r="AQ297" i="24"/>
  <c r="AS297" i="24"/>
  <c r="AQ302" i="24"/>
  <c r="AS302" i="24"/>
  <c r="AQ54" i="24"/>
  <c r="AS54" i="24"/>
  <c r="AQ92" i="24"/>
  <c r="AS92" i="24"/>
  <c r="AQ140" i="24"/>
  <c r="AS140" i="24"/>
  <c r="AQ125" i="24"/>
  <c r="AS125" i="24"/>
  <c r="AQ111" i="24"/>
  <c r="AS111" i="24"/>
  <c r="AQ72" i="24"/>
  <c r="AS72" i="24"/>
  <c r="AQ143" i="24"/>
  <c r="AS143" i="24"/>
  <c r="AQ175" i="24"/>
  <c r="AS175" i="24"/>
  <c r="AQ154" i="24"/>
  <c r="AS154" i="24"/>
  <c r="AQ290" i="24"/>
  <c r="AS290" i="24"/>
  <c r="AQ303" i="24"/>
  <c r="AS303" i="24"/>
  <c r="AQ286" i="24"/>
  <c r="AS286" i="24"/>
  <c r="AQ218" i="24"/>
  <c r="AS218" i="24"/>
  <c r="AQ228" i="24"/>
  <c r="AS228" i="24"/>
  <c r="AQ258" i="24"/>
  <c r="AS258" i="24"/>
  <c r="AQ285" i="24"/>
  <c r="AS285" i="24"/>
  <c r="AQ316" i="24"/>
  <c r="AS316" i="24"/>
  <c r="AQ82" i="24"/>
  <c r="AS82" i="24"/>
  <c r="AQ74" i="24"/>
  <c r="AS74" i="24"/>
  <c r="AQ68" i="24"/>
  <c r="AS68" i="24"/>
  <c r="AQ160" i="24"/>
  <c r="AS160" i="24"/>
  <c r="AQ121" i="24"/>
  <c r="AS121" i="24"/>
  <c r="AQ118" i="24"/>
  <c r="AS118" i="24"/>
  <c r="AQ113" i="24"/>
  <c r="AS113" i="24"/>
  <c r="AQ124" i="24"/>
  <c r="AS124" i="24"/>
  <c r="AQ144" i="24"/>
  <c r="AS144" i="24"/>
  <c r="AQ83" i="24"/>
  <c r="AS83" i="24"/>
  <c r="AQ56" i="24"/>
  <c r="AS56" i="24"/>
  <c r="AQ272" i="24"/>
  <c r="AS272" i="24"/>
  <c r="AQ277" i="24"/>
  <c r="AS277" i="24"/>
  <c r="AQ281" i="24"/>
  <c r="AS281" i="24"/>
  <c r="AQ239" i="24"/>
  <c r="AS239" i="24"/>
  <c r="AQ309" i="24"/>
  <c r="AS309" i="24"/>
  <c r="AQ234" i="24"/>
  <c r="AS234" i="24"/>
  <c r="AQ241" i="24"/>
  <c r="AS241" i="24"/>
  <c r="AQ227" i="24"/>
  <c r="AS227" i="24"/>
  <c r="AQ298" i="24"/>
  <c r="AS298" i="24"/>
  <c r="AQ287" i="24"/>
  <c r="AS287" i="24"/>
  <c r="AQ233" i="24"/>
  <c r="AS233" i="24"/>
  <c r="AQ256" i="24"/>
  <c r="AS256" i="24"/>
  <c r="AQ236" i="24"/>
  <c r="AS236" i="24"/>
  <c r="AQ266" i="24"/>
  <c r="AS266" i="24"/>
  <c r="AQ313" i="24"/>
  <c r="AS313" i="24"/>
  <c r="AQ307" i="24"/>
  <c r="AS307" i="24"/>
  <c r="AQ250" i="24"/>
  <c r="AS250" i="24"/>
  <c r="AQ264" i="24"/>
  <c r="AS264" i="24"/>
  <c r="AQ224" i="24"/>
  <c r="AS224" i="24"/>
  <c r="AQ315" i="24"/>
  <c r="AS315" i="24"/>
  <c r="AQ63" i="24"/>
  <c r="AS63" i="24"/>
  <c r="AQ292" i="24"/>
  <c r="AS292" i="24"/>
  <c r="AQ158" i="24"/>
  <c r="AS158" i="24"/>
  <c r="AQ153" i="24"/>
  <c r="AS153" i="24"/>
  <c r="AQ129" i="24"/>
  <c r="AS129" i="24"/>
  <c r="AQ116" i="24"/>
  <c r="AS116" i="24"/>
  <c r="AQ177" i="24"/>
  <c r="AS177" i="24"/>
  <c r="AQ151" i="24"/>
  <c r="AS151" i="24"/>
  <c r="AQ180" i="24"/>
  <c r="AS180" i="24"/>
  <c r="AQ29" i="24"/>
  <c r="AS29" i="24"/>
  <c r="AN43" i="24" l="1"/>
  <c r="AX43" i="24" s="1"/>
  <c r="BH41" i="24"/>
  <c r="CD41" i="24"/>
  <c r="AJ212" i="24"/>
  <c r="AT212" i="24" s="1"/>
  <c r="BA212" i="24" s="1"/>
  <c r="B94" i="2" s="1"/>
  <c r="E20" i="1" s="1"/>
  <c r="AF212" i="24"/>
  <c r="AG212" i="24"/>
  <c r="AQ225" i="24"/>
  <c r="CD225" i="24"/>
  <c r="BT122" i="24"/>
  <c r="CD122" i="24"/>
  <c r="BH110" i="25"/>
  <c r="BG110" i="25"/>
  <c r="BT110" i="25"/>
  <c r="BF110" i="25"/>
  <c r="AX172" i="24"/>
  <c r="AX123" i="24"/>
  <c r="BT115" i="24"/>
  <c r="AX181" i="24"/>
  <c r="BT155" i="24"/>
  <c r="AX195" i="24"/>
  <c r="BT157" i="24"/>
  <c r="AX208" i="24"/>
  <c r="BV210" i="24"/>
  <c r="BV195" i="24"/>
  <c r="AX157" i="24"/>
  <c r="AX115" i="24"/>
  <c r="BV122" i="24"/>
  <c r="BT123" i="24"/>
  <c r="BH181" i="24"/>
  <c r="BT210" i="24"/>
  <c r="BH208" i="24"/>
  <c r="AQ136" i="24"/>
  <c r="BI136" i="24"/>
  <c r="BJ136" i="24"/>
  <c r="CD196" i="24"/>
  <c r="BJ196" i="24"/>
  <c r="BI196" i="24"/>
  <c r="BH196" i="24"/>
  <c r="BV196" i="24"/>
  <c r="BT196" i="24"/>
  <c r="AX196" i="24"/>
  <c r="CD204" i="24"/>
  <c r="BJ204" i="24"/>
  <c r="BI204" i="24"/>
  <c r="BH204" i="24"/>
  <c r="BT204" i="24"/>
  <c r="BV204" i="24"/>
  <c r="AX204" i="24"/>
  <c r="CD198" i="24"/>
  <c r="BI198" i="24"/>
  <c r="BJ198" i="24"/>
  <c r="BV198" i="24"/>
  <c r="BT198" i="24"/>
  <c r="BH198" i="24"/>
  <c r="AX198" i="24"/>
  <c r="CD170" i="24"/>
  <c r="BI170" i="24"/>
  <c r="BJ170" i="24"/>
  <c r="BV170" i="24"/>
  <c r="BT170" i="24"/>
  <c r="BH170" i="24"/>
  <c r="AX170" i="24"/>
  <c r="CD189" i="24"/>
  <c r="BI189" i="24"/>
  <c r="BJ189" i="24"/>
  <c r="AX189" i="24"/>
  <c r="BV189" i="24"/>
  <c r="BT189" i="24"/>
  <c r="BH189" i="24"/>
  <c r="CD132" i="24"/>
  <c r="BJ132" i="24"/>
  <c r="BI132" i="24"/>
  <c r="BT132" i="24"/>
  <c r="BV132" i="24"/>
  <c r="BH132" i="24"/>
  <c r="AX132" i="24"/>
  <c r="BT136" i="24"/>
  <c r="BH136" i="24"/>
  <c r="CD163" i="24"/>
  <c r="BJ163" i="24"/>
  <c r="BI163" i="24"/>
  <c r="BT163" i="24"/>
  <c r="BV163" i="24"/>
  <c r="AX163" i="24"/>
  <c r="BH163" i="24"/>
  <c r="CD131" i="24"/>
  <c r="BI131" i="24"/>
  <c r="BJ131" i="24"/>
  <c r="BT131" i="24"/>
  <c r="BV131" i="24"/>
  <c r="AX131" i="24"/>
  <c r="BH131" i="24"/>
  <c r="CD186" i="24"/>
  <c r="BI186" i="24"/>
  <c r="BJ186" i="24"/>
  <c r="BV186" i="24"/>
  <c r="BT186" i="24"/>
  <c r="BH186" i="24"/>
  <c r="AX186" i="24"/>
  <c r="CD112" i="24"/>
  <c r="BI112" i="24"/>
  <c r="BJ112" i="24"/>
  <c r="AQ184" i="24"/>
  <c r="BI184" i="24"/>
  <c r="BJ184" i="24"/>
  <c r="BV184" i="24"/>
  <c r="BT184" i="24"/>
  <c r="BH184" i="24"/>
  <c r="AX184" i="24"/>
  <c r="CD174" i="24"/>
  <c r="BI174" i="24"/>
  <c r="BJ174" i="24"/>
  <c r="BT174" i="24"/>
  <c r="AX174" i="24"/>
  <c r="BV174" i="24"/>
  <c r="BH174" i="24"/>
  <c r="CD156" i="24"/>
  <c r="BI156" i="24"/>
  <c r="BJ156" i="24"/>
  <c r="BT156" i="24"/>
  <c r="BV156" i="24"/>
  <c r="BH156" i="24"/>
  <c r="AX156" i="24"/>
  <c r="CD117" i="24"/>
  <c r="BI117" i="24"/>
  <c r="BJ117" i="24"/>
  <c r="AX117" i="24"/>
  <c r="BT117" i="24"/>
  <c r="BH117" i="24"/>
  <c r="BV117" i="24"/>
  <c r="CD176" i="24"/>
  <c r="BI176" i="24"/>
  <c r="BJ176" i="24"/>
  <c r="BH176" i="24"/>
  <c r="BT176" i="24"/>
  <c r="BV176" i="24"/>
  <c r="AX176" i="24"/>
  <c r="AQ114" i="24"/>
  <c r="BI114" i="24"/>
  <c r="BJ114" i="24"/>
  <c r="BV114" i="24"/>
  <c r="AX114" i="24"/>
  <c r="BH114" i="24"/>
  <c r="BT114" i="24"/>
  <c r="CD130" i="24"/>
  <c r="BI130" i="24"/>
  <c r="BJ130" i="24"/>
  <c r="AX130" i="24"/>
  <c r="BV130" i="24"/>
  <c r="BH130" i="24"/>
  <c r="BT130" i="24"/>
  <c r="AS167" i="24"/>
  <c r="AU167" i="24" s="1"/>
  <c r="BB167" i="24" s="1"/>
  <c r="BI167" i="24"/>
  <c r="BJ167" i="24"/>
  <c r="BV167" i="24"/>
  <c r="BH167" i="24"/>
  <c r="BT167" i="24"/>
  <c r="AX167" i="24"/>
  <c r="CD159" i="24"/>
  <c r="BJ159" i="24"/>
  <c r="BI159" i="24"/>
  <c r="BT159" i="24"/>
  <c r="BV159" i="24"/>
  <c r="BH159" i="24"/>
  <c r="AX159" i="24"/>
  <c r="BI146" i="24"/>
  <c r="BJ146" i="24"/>
  <c r="BV146" i="24"/>
  <c r="AX146" i="24"/>
  <c r="BH146" i="24"/>
  <c r="BT146" i="24"/>
  <c r="CD128" i="24"/>
  <c r="BI128" i="24"/>
  <c r="BJ128" i="24"/>
  <c r="BV128" i="24"/>
  <c r="BT128" i="24"/>
  <c r="BH128" i="24"/>
  <c r="AX128" i="24"/>
  <c r="CD152" i="24"/>
  <c r="BJ152" i="24"/>
  <c r="BI152" i="24"/>
  <c r="BV152" i="24"/>
  <c r="BH152" i="24"/>
  <c r="BT152" i="24"/>
  <c r="AX152" i="24"/>
  <c r="CD165" i="24"/>
  <c r="BJ165" i="24"/>
  <c r="BI165" i="24"/>
  <c r="BT165" i="24"/>
  <c r="AX165" i="24"/>
  <c r="BV165" i="24"/>
  <c r="BH165" i="24"/>
  <c r="BV136" i="24"/>
  <c r="AS165" i="24"/>
  <c r="AU165" i="24" s="1"/>
  <c r="BB165" i="24" s="1"/>
  <c r="BI110" i="24"/>
  <c r="BJ110" i="24"/>
  <c r="BT110" i="24"/>
  <c r="AX110" i="24"/>
  <c r="BV110" i="24"/>
  <c r="BH110" i="24"/>
  <c r="CD123" i="24"/>
  <c r="BI123" i="24"/>
  <c r="BJ123" i="24"/>
  <c r="CD194" i="24"/>
  <c r="BI194" i="24"/>
  <c r="BJ194" i="24"/>
  <c r="BT194" i="24"/>
  <c r="BV194" i="24"/>
  <c r="BH194" i="24"/>
  <c r="AX194" i="24"/>
  <c r="BI169" i="24"/>
  <c r="BJ169" i="24"/>
  <c r="CD207" i="24"/>
  <c r="BI207" i="24"/>
  <c r="BJ207" i="24"/>
  <c r="CD172" i="24"/>
  <c r="BJ172" i="24"/>
  <c r="BI172" i="24"/>
  <c r="CD192" i="24"/>
  <c r="BI192" i="24"/>
  <c r="BJ192" i="24"/>
  <c r="BV192" i="24"/>
  <c r="AX192" i="24"/>
  <c r="BH192" i="24"/>
  <c r="BT192" i="24"/>
  <c r="CD199" i="24"/>
  <c r="BI199" i="24"/>
  <c r="BJ199" i="24"/>
  <c r="BT199" i="24"/>
  <c r="BH199" i="24"/>
  <c r="BV199" i="24"/>
  <c r="AX199" i="24"/>
  <c r="CD157" i="24"/>
  <c r="BJ157" i="24"/>
  <c r="BI157" i="24"/>
  <c r="CD141" i="24"/>
  <c r="BI141" i="24"/>
  <c r="BJ141" i="24"/>
  <c r="AX141" i="24"/>
  <c r="BT141" i="24"/>
  <c r="BV141" i="24"/>
  <c r="BH141" i="24"/>
  <c r="CD188" i="24"/>
  <c r="BJ188" i="24"/>
  <c r="BI188" i="24"/>
  <c r="BH188" i="24"/>
  <c r="BT188" i="24"/>
  <c r="BV188" i="24"/>
  <c r="AX188" i="24"/>
  <c r="CD209" i="24"/>
  <c r="BI209" i="24"/>
  <c r="BJ209" i="24"/>
  <c r="BH209" i="24"/>
  <c r="BT209" i="24"/>
  <c r="BV209" i="24"/>
  <c r="AX209" i="24"/>
  <c r="AS133" i="24"/>
  <c r="AU133" i="24" s="1"/>
  <c r="BB133" i="24" s="1"/>
  <c r="BI133" i="24"/>
  <c r="BJ133" i="24"/>
  <c r="AX133" i="24"/>
  <c r="BT133" i="24"/>
  <c r="BH133" i="24"/>
  <c r="BV133" i="24"/>
  <c r="CD206" i="24"/>
  <c r="BI206" i="24"/>
  <c r="BJ206" i="24"/>
  <c r="BV206" i="24"/>
  <c r="BT206" i="24"/>
  <c r="AX206" i="24"/>
  <c r="BH206" i="24"/>
  <c r="AS166" i="24"/>
  <c r="AU166" i="24" s="1"/>
  <c r="BB166" i="24" s="1"/>
  <c r="BI166" i="24"/>
  <c r="BJ166" i="24"/>
  <c r="BT166" i="24"/>
  <c r="BH166" i="24"/>
  <c r="BV166" i="24"/>
  <c r="AX166" i="24"/>
  <c r="AQ191" i="24"/>
  <c r="BI191" i="24"/>
  <c r="BJ191" i="24"/>
  <c r="BT191" i="24"/>
  <c r="BV191" i="24"/>
  <c r="BH191" i="24"/>
  <c r="AX191" i="24"/>
  <c r="AX207" i="24"/>
  <c r="BV112" i="24"/>
  <c r="BH112" i="24"/>
  <c r="BV172" i="24"/>
  <c r="BH169" i="24"/>
  <c r="BT169" i="24"/>
  <c r="CD134" i="24"/>
  <c r="BJ134" i="24"/>
  <c r="BI134" i="24"/>
  <c r="BT134" i="24"/>
  <c r="BH134" i="24"/>
  <c r="AX134" i="24"/>
  <c r="BV134" i="24"/>
  <c r="AQ161" i="24"/>
  <c r="BJ161" i="24"/>
  <c r="BI161" i="24"/>
  <c r="AX161" i="24"/>
  <c r="BT161" i="24"/>
  <c r="BH161" i="24"/>
  <c r="BV161" i="24"/>
  <c r="BI168" i="24"/>
  <c r="BJ168" i="24"/>
  <c r="BH168" i="24"/>
  <c r="BT168" i="24"/>
  <c r="BV168" i="24"/>
  <c r="AX168" i="24"/>
  <c r="CD147" i="24"/>
  <c r="BJ147" i="24"/>
  <c r="BI147" i="24"/>
  <c r="BT147" i="24"/>
  <c r="BV147" i="24"/>
  <c r="AX147" i="24"/>
  <c r="BH147" i="24"/>
  <c r="CD182" i="24"/>
  <c r="BI182" i="24"/>
  <c r="BJ182" i="24"/>
  <c r="BT182" i="24"/>
  <c r="BV182" i="24"/>
  <c r="AX182" i="24"/>
  <c r="BH182" i="24"/>
  <c r="BJ155" i="24"/>
  <c r="BI155" i="24"/>
  <c r="CD149" i="24"/>
  <c r="BJ149" i="24"/>
  <c r="BI149" i="24"/>
  <c r="BT149" i="24"/>
  <c r="AX149" i="24"/>
  <c r="BV149" i="24"/>
  <c r="BH149" i="24"/>
  <c r="AS115" i="24"/>
  <c r="AU115" i="24" s="1"/>
  <c r="BB115" i="24" s="1"/>
  <c r="BI115" i="24"/>
  <c r="BJ115" i="24"/>
  <c r="CD210" i="24"/>
  <c r="BI210" i="24"/>
  <c r="BJ210" i="24"/>
  <c r="BI203" i="24"/>
  <c r="BJ203" i="24"/>
  <c r="BV203" i="24"/>
  <c r="BH203" i="24"/>
  <c r="BT203" i="24"/>
  <c r="AX203" i="24"/>
  <c r="CD205" i="24"/>
  <c r="BI205" i="24"/>
  <c r="BJ205" i="24"/>
  <c r="AX205" i="24"/>
  <c r="BT205" i="24"/>
  <c r="BV205" i="24"/>
  <c r="BH205" i="24"/>
  <c r="BI181" i="24"/>
  <c r="BJ181" i="24"/>
  <c r="AQ208" i="24"/>
  <c r="BI208" i="24"/>
  <c r="BJ208" i="24"/>
  <c r="CD119" i="24"/>
  <c r="BI119" i="24"/>
  <c r="BJ119" i="24"/>
  <c r="BT119" i="24"/>
  <c r="AX119" i="24"/>
  <c r="BV119" i="24"/>
  <c r="BH119" i="24"/>
  <c r="AQ162" i="24"/>
  <c r="BI162" i="24"/>
  <c r="BJ162" i="24"/>
  <c r="BV162" i="24"/>
  <c r="BH162" i="24"/>
  <c r="AX162" i="24"/>
  <c r="BT162" i="24"/>
  <c r="CD195" i="24"/>
  <c r="BI195" i="24"/>
  <c r="BJ195" i="24"/>
  <c r="CD150" i="24"/>
  <c r="BI150" i="24"/>
  <c r="BJ150" i="24"/>
  <c r="BT150" i="24"/>
  <c r="BH150" i="24"/>
  <c r="BV150" i="24"/>
  <c r="AX150" i="24"/>
  <c r="AS122" i="24"/>
  <c r="AW122" i="24" s="1"/>
  <c r="BI122" i="24"/>
  <c r="BJ122" i="24"/>
  <c r="CD193" i="24"/>
  <c r="BI193" i="24"/>
  <c r="BJ193" i="24"/>
  <c r="AX193" i="24"/>
  <c r="BV193" i="24"/>
  <c r="BH193" i="24"/>
  <c r="BT193" i="24"/>
  <c r="BH207" i="24"/>
  <c r="BT207" i="24"/>
  <c r="BH210" i="24"/>
  <c r="AX155" i="24"/>
  <c r="BV155" i="24"/>
  <c r="AX112" i="24"/>
  <c r="BT112" i="24"/>
  <c r="BT195" i="24"/>
  <c r="BH157" i="24"/>
  <c r="BH115" i="24"/>
  <c r="BT172" i="24"/>
  <c r="AX122" i="24"/>
  <c r="BH122" i="24"/>
  <c r="BH123" i="24"/>
  <c r="BT208" i="24"/>
  <c r="BV181" i="24"/>
  <c r="BV169" i="24"/>
  <c r="AX136" i="24"/>
  <c r="AQ152" i="24"/>
  <c r="BV55" i="24"/>
  <c r="AV7" i="24"/>
  <c r="AX50" i="24"/>
  <c r="BV50" i="24"/>
  <c r="AX87" i="24"/>
  <c r="BV87" i="24"/>
  <c r="AV48" i="24"/>
  <c r="AV81" i="24"/>
  <c r="BV81" i="24"/>
  <c r="BH70" i="24"/>
  <c r="BV70" i="24"/>
  <c r="AS152" i="24"/>
  <c r="AW152" i="24" s="1"/>
  <c r="AV20" i="24"/>
  <c r="AX91" i="24"/>
  <c r="BV91" i="24"/>
  <c r="BH27" i="24"/>
  <c r="BV27" i="24"/>
  <c r="AX105" i="24"/>
  <c r="BV105" i="24"/>
  <c r="BT101" i="24"/>
  <c r="BV101" i="24"/>
  <c r="AV38" i="24"/>
  <c r="AV62" i="24"/>
  <c r="AV39" i="24"/>
  <c r="AV77" i="24"/>
  <c r="AV76" i="24"/>
  <c r="BV97" i="24"/>
  <c r="BV64" i="24"/>
  <c r="BV33" i="24"/>
  <c r="AX86" i="24"/>
  <c r="BV86" i="24"/>
  <c r="BT14" i="24"/>
  <c r="BV14" i="24"/>
  <c r="AV57" i="24"/>
  <c r="AV90" i="24"/>
  <c r="AV44" i="24"/>
  <c r="AV84" i="24"/>
  <c r="AV93" i="24"/>
  <c r="AT103" i="24"/>
  <c r="BA103" i="24" s="1"/>
  <c r="BV34" i="24"/>
  <c r="AV22" i="24"/>
  <c r="BV22" i="24"/>
  <c r="AX69" i="24"/>
  <c r="BV69" i="24"/>
  <c r="AX23" i="24"/>
  <c r="BV23" i="24"/>
  <c r="AX95" i="24"/>
  <c r="BV95" i="24"/>
  <c r="AT52" i="24"/>
  <c r="BA52" i="24" s="1"/>
  <c r="AV45" i="24"/>
  <c r="AV80" i="24"/>
  <c r="AV71" i="24"/>
  <c r="BH10" i="24"/>
  <c r="BV10" i="24"/>
  <c r="AT66" i="24"/>
  <c r="BA66" i="24" s="1"/>
  <c r="AT67" i="24"/>
  <c r="BA67" i="24" s="1"/>
  <c r="AX25" i="24"/>
  <c r="BV25" i="24"/>
  <c r="AV98" i="24"/>
  <c r="AV75" i="24"/>
  <c r="AX78" i="24"/>
  <c r="BV78" i="24"/>
  <c r="BV35" i="24"/>
  <c r="BV41" i="24"/>
  <c r="BV65" i="24"/>
  <c r="AU58" i="25"/>
  <c r="BC58" i="25" s="1"/>
  <c r="BS58" i="25" s="1"/>
  <c r="AQ193" i="24"/>
  <c r="AS278" i="24"/>
  <c r="AW278" i="24" s="1"/>
  <c r="BH78" i="24"/>
  <c r="AQ278" i="24"/>
  <c r="AQ182" i="24"/>
  <c r="AV103" i="24"/>
  <c r="BI78" i="24"/>
  <c r="BT78" i="24"/>
  <c r="AS182" i="24"/>
  <c r="AU182" i="24" s="1"/>
  <c r="BB182" i="24" s="1"/>
  <c r="AS78" i="24"/>
  <c r="AW78" i="24" s="1"/>
  <c r="AY78" i="24" s="1"/>
  <c r="AS305" i="24"/>
  <c r="AU305" i="24" s="1"/>
  <c r="BB305" i="24" s="1"/>
  <c r="AQ70" i="24"/>
  <c r="BI70" i="24"/>
  <c r="BJ70" i="24"/>
  <c r="BT70" i="24"/>
  <c r="AX70" i="24"/>
  <c r="AS70" i="24"/>
  <c r="AW70" i="24" s="1"/>
  <c r="AY70" i="24" s="1"/>
  <c r="AS193" i="24"/>
  <c r="AU193" i="24" s="1"/>
  <c r="BB193" i="24" s="1"/>
  <c r="AQ78" i="24"/>
  <c r="BJ78" i="24"/>
  <c r="AQ237" i="24"/>
  <c r="AS203" i="24"/>
  <c r="AU203" i="24" s="1"/>
  <c r="BB203" i="24" s="1"/>
  <c r="CD203" i="24"/>
  <c r="AQ155" i="24"/>
  <c r="CD155" i="24"/>
  <c r="BH51" i="24"/>
  <c r="CD51" i="24"/>
  <c r="AQ128" i="24"/>
  <c r="AX73" i="24"/>
  <c r="CD73" i="24"/>
  <c r="AQ168" i="24"/>
  <c r="CD168" i="24"/>
  <c r="AQ146" i="24"/>
  <c r="CD146" i="24"/>
  <c r="AS260" i="24"/>
  <c r="AU260" i="24" s="1"/>
  <c r="BB260" i="24" s="1"/>
  <c r="CD260" i="24"/>
  <c r="AS289" i="24"/>
  <c r="AU289" i="24" s="1"/>
  <c r="BB289" i="24" s="1"/>
  <c r="CD289" i="24"/>
  <c r="AX60" i="24"/>
  <c r="CD60" i="24"/>
  <c r="AS238" i="24"/>
  <c r="AU238" i="24" s="1"/>
  <c r="BB238" i="24" s="1"/>
  <c r="AS128" i="24"/>
  <c r="AW128" i="24" s="1"/>
  <c r="AS132" i="24"/>
  <c r="AW132" i="24" s="1"/>
  <c r="AQ132" i="24"/>
  <c r="AS191" i="24"/>
  <c r="AU191" i="24" s="1"/>
  <c r="BB191" i="24" s="1"/>
  <c r="BT25" i="24"/>
  <c r="AT75" i="24"/>
  <c r="BA75" i="24" s="1"/>
  <c r="AQ25" i="24"/>
  <c r="AS73" i="24"/>
  <c r="AU73" i="24" s="1"/>
  <c r="BB73" i="24" s="1"/>
  <c r="AQ265" i="24"/>
  <c r="AS311" i="24"/>
  <c r="AU311" i="24" s="1"/>
  <c r="BB311" i="24" s="1"/>
  <c r="AS217" i="24"/>
  <c r="AW217" i="24" s="1"/>
  <c r="AT76" i="24"/>
  <c r="BA76" i="24" s="1"/>
  <c r="AS255" i="24"/>
  <c r="AW255" i="24" s="1"/>
  <c r="AQ166" i="24"/>
  <c r="AQ262" i="24"/>
  <c r="BH55" i="24"/>
  <c r="AS159" i="24"/>
  <c r="AU159" i="24" s="1"/>
  <c r="BB159" i="24" s="1"/>
  <c r="BT73" i="24"/>
  <c r="AQ117" i="24"/>
  <c r="AS312" i="24"/>
  <c r="AU312" i="24" s="1"/>
  <c r="BB312" i="24" s="1"/>
  <c r="AS176" i="24"/>
  <c r="AU176" i="24" s="1"/>
  <c r="BB176" i="24" s="1"/>
  <c r="AS114" i="24"/>
  <c r="AU114" i="24" s="1"/>
  <c r="BB114" i="24" s="1"/>
  <c r="AS146" i="24"/>
  <c r="AW146" i="24" s="1"/>
  <c r="BJ55" i="24"/>
  <c r="AQ207" i="24"/>
  <c r="AQ133" i="24"/>
  <c r="AS189" i="24"/>
  <c r="AU189" i="24" s="1"/>
  <c r="BB189" i="24" s="1"/>
  <c r="AX81" i="24"/>
  <c r="AT81" i="24"/>
  <c r="BA81" i="24" s="1"/>
  <c r="AQ55" i="24"/>
  <c r="AQ291" i="24"/>
  <c r="AQ289" i="24"/>
  <c r="BI73" i="24"/>
  <c r="BJ25" i="24"/>
  <c r="AQ189" i="24"/>
  <c r="BH33" i="24"/>
  <c r="AQ255" i="24"/>
  <c r="BI33" i="24"/>
  <c r="AX55" i="24"/>
  <c r="AX22" i="24"/>
  <c r="AS33" i="24"/>
  <c r="AU33" i="24" s="1"/>
  <c r="BB33" i="24" s="1"/>
  <c r="AS291" i="24"/>
  <c r="AU291" i="24" s="1"/>
  <c r="BB291" i="24" s="1"/>
  <c r="BJ33" i="24"/>
  <c r="AS55" i="24"/>
  <c r="AW55" i="24" s="1"/>
  <c r="AY55" i="24" s="1"/>
  <c r="AQ33" i="24"/>
  <c r="BI55" i="24"/>
  <c r="BT33" i="24"/>
  <c r="AS181" i="24"/>
  <c r="AU181" i="24" s="1"/>
  <c r="BB181" i="24" s="1"/>
  <c r="CD181" i="24"/>
  <c r="AQ130" i="24"/>
  <c r="AQ122" i="24"/>
  <c r="AS295" i="24"/>
  <c r="AU295" i="24" s="1"/>
  <c r="BB295" i="24" s="1"/>
  <c r="AQ73" i="24"/>
  <c r="AS242" i="24"/>
  <c r="AU242" i="24" s="1"/>
  <c r="BB242" i="24" s="1"/>
  <c r="BH73" i="24"/>
  <c r="AQ306" i="24"/>
  <c r="CD306" i="24"/>
  <c r="AQ217" i="24"/>
  <c r="AQ167" i="24"/>
  <c r="AS147" i="24"/>
  <c r="AW147" i="24" s="1"/>
  <c r="BJ73" i="24"/>
  <c r="AV67" i="24"/>
  <c r="AT93" i="24"/>
  <c r="BA93" i="24" s="1"/>
  <c r="AQ147" i="24"/>
  <c r="AV66" i="24"/>
  <c r="AS168" i="24"/>
  <c r="AU168" i="24" s="1"/>
  <c r="BB168" i="24" s="1"/>
  <c r="AS170" i="24"/>
  <c r="AW170" i="24" s="1"/>
  <c r="AQ263" i="24"/>
  <c r="AQ269" i="24"/>
  <c r="AQ159" i="24"/>
  <c r="AQ176" i="24"/>
  <c r="AT98" i="24"/>
  <c r="BA98" i="24" s="1"/>
  <c r="BH25" i="24"/>
  <c r="AS25" i="24"/>
  <c r="AW25" i="24" s="1"/>
  <c r="AY25" i="24" s="1"/>
  <c r="AQ170" i="24"/>
  <c r="AS130" i="24"/>
  <c r="AU130" i="24" s="1"/>
  <c r="BB130" i="24" s="1"/>
  <c r="BI25" i="24"/>
  <c r="AT84" i="24"/>
  <c r="BA84" i="24" s="1"/>
  <c r="AT90" i="24"/>
  <c r="BA90" i="24" s="1"/>
  <c r="AT44" i="24"/>
  <c r="BA44" i="24" s="1"/>
  <c r="AS265" i="24"/>
  <c r="AU265" i="24" s="1"/>
  <c r="BB265" i="24" s="1"/>
  <c r="AS226" i="24"/>
  <c r="AW226" i="24" s="1"/>
  <c r="AQ296" i="24"/>
  <c r="AQ231" i="24"/>
  <c r="AS188" i="24"/>
  <c r="AU188" i="24" s="1"/>
  <c r="BB188" i="24" s="1"/>
  <c r="AT38" i="24"/>
  <c r="BA38" i="24" s="1"/>
  <c r="AT39" i="24"/>
  <c r="BA39" i="24" s="1"/>
  <c r="AQ206" i="24"/>
  <c r="AQ181" i="24"/>
  <c r="AS206" i="24"/>
  <c r="AU206" i="24" s="1"/>
  <c r="BB206" i="24" s="1"/>
  <c r="AQ209" i="24"/>
  <c r="AT62" i="24"/>
  <c r="BA62" i="24" s="1"/>
  <c r="AT77" i="24"/>
  <c r="BA77" i="24" s="1"/>
  <c r="BJ23" i="24"/>
  <c r="AS150" i="24"/>
  <c r="AW150" i="24" s="1"/>
  <c r="AQ150" i="24"/>
  <c r="AS308" i="24"/>
  <c r="AW308" i="24" s="1"/>
  <c r="AQ10" i="24"/>
  <c r="AQ198" i="24"/>
  <c r="AS232" i="24"/>
  <c r="AU232" i="24" s="1"/>
  <c r="BB232" i="24" s="1"/>
  <c r="BJ10" i="24"/>
  <c r="AS204" i="24"/>
  <c r="AW204" i="24" s="1"/>
  <c r="AS198" i="24"/>
  <c r="AW198" i="24" s="1"/>
  <c r="AS156" i="24"/>
  <c r="AU156" i="24" s="1"/>
  <c r="BB156" i="24" s="1"/>
  <c r="AS117" i="24"/>
  <c r="AW117" i="24" s="1"/>
  <c r="AS225" i="24"/>
  <c r="AU225" i="24" s="1"/>
  <c r="BB225" i="24" s="1"/>
  <c r="AS195" i="24"/>
  <c r="AU195" i="24" s="1"/>
  <c r="BB195" i="24" s="1"/>
  <c r="AS284" i="24"/>
  <c r="AU284" i="24" s="1"/>
  <c r="BB284" i="24" s="1"/>
  <c r="AS162" i="24"/>
  <c r="AW162" i="24" s="1"/>
  <c r="AQ186" i="24"/>
  <c r="AQ156" i="24"/>
  <c r="AQ195" i="24"/>
  <c r="AQ196" i="24"/>
  <c r="AQ204" i="24"/>
  <c r="AS174" i="24"/>
  <c r="AW174" i="24" s="1"/>
  <c r="AS306" i="24"/>
  <c r="AU306" i="24" s="1"/>
  <c r="BB306" i="24" s="1"/>
  <c r="AT48" i="24"/>
  <c r="BA48" i="24" s="1"/>
  <c r="AQ169" i="24"/>
  <c r="CD169" i="24"/>
  <c r="AT71" i="24"/>
  <c r="BA71" i="24" s="1"/>
  <c r="AS10" i="24"/>
  <c r="AW10" i="24" s="1"/>
  <c r="AY10" i="24" s="1"/>
  <c r="AQ97" i="24"/>
  <c r="BI10" i="24"/>
  <c r="BH23" i="24"/>
  <c r="AQ188" i="24"/>
  <c r="BT10" i="24"/>
  <c r="AX10" i="24"/>
  <c r="AQ141" i="24"/>
  <c r="AQ192" i="24"/>
  <c r="AS209" i="24"/>
  <c r="AU209" i="24" s="1"/>
  <c r="BB209" i="24" s="1"/>
  <c r="AU40" i="24"/>
  <c r="BB40" i="24" s="1"/>
  <c r="AT80" i="24"/>
  <c r="BA80" i="24" s="1"/>
  <c r="AK71" i="24"/>
  <c r="AQ205" i="24"/>
  <c r="AQ149" i="24"/>
  <c r="AQ210" i="24"/>
  <c r="BJ51" i="24"/>
  <c r="AQ174" i="24"/>
  <c r="AV52" i="24"/>
  <c r="AQ101" i="24"/>
  <c r="AS119" i="24"/>
  <c r="AU119" i="24" s="1"/>
  <c r="BB119" i="24" s="1"/>
  <c r="AT57" i="24"/>
  <c r="BA57" i="24" s="1"/>
  <c r="AQ112" i="24"/>
  <c r="AQ172" i="24"/>
  <c r="AQ95" i="24"/>
  <c r="AQ199" i="24"/>
  <c r="AQ105" i="24"/>
  <c r="AT45" i="24"/>
  <c r="BA45" i="24" s="1"/>
  <c r="BJ95" i="24"/>
  <c r="BT51" i="24"/>
  <c r="AQ51" i="24"/>
  <c r="BI14" i="24"/>
  <c r="AS184" i="24"/>
  <c r="AW184" i="24" s="1"/>
  <c r="AQ203" i="24"/>
  <c r="AS136" i="24"/>
  <c r="AU136" i="24" s="1"/>
  <c r="BB136" i="24" s="1"/>
  <c r="AS51" i="24"/>
  <c r="AU51" i="24" s="1"/>
  <c r="BB51" i="24" s="1"/>
  <c r="BI51" i="24"/>
  <c r="AS205" i="24"/>
  <c r="AW205" i="24" s="1"/>
  <c r="AQ119" i="24"/>
  <c r="BJ50" i="24"/>
  <c r="AS208" i="24"/>
  <c r="AU208" i="24" s="1"/>
  <c r="BB208" i="24" s="1"/>
  <c r="AX51" i="24"/>
  <c r="BT95" i="24"/>
  <c r="BH95" i="24"/>
  <c r="AS112" i="24"/>
  <c r="AU112" i="24" s="1"/>
  <c r="BB112" i="24" s="1"/>
  <c r="AS141" i="24"/>
  <c r="AU141" i="24" s="1"/>
  <c r="BB141" i="24" s="1"/>
  <c r="AS95" i="24"/>
  <c r="AW95" i="24" s="1"/>
  <c r="AY95" i="24" s="1"/>
  <c r="BI95" i="24"/>
  <c r="BI60" i="24"/>
  <c r="BH60" i="24"/>
  <c r="AS60" i="24"/>
  <c r="AW60" i="24" s="1"/>
  <c r="AY60" i="24" s="1"/>
  <c r="AQ60" i="24"/>
  <c r="AQ23" i="24"/>
  <c r="AS196" i="24"/>
  <c r="AW196" i="24" s="1"/>
  <c r="BT60" i="24"/>
  <c r="AS23" i="24"/>
  <c r="AU23" i="24" s="1"/>
  <c r="BB23" i="24" s="1"/>
  <c r="BJ60" i="24"/>
  <c r="BI23" i="24"/>
  <c r="BT23" i="24"/>
  <c r="BH101" i="24"/>
  <c r="AX101" i="24"/>
  <c r="BJ101" i="24"/>
  <c r="AS157" i="24"/>
  <c r="AW157" i="24" s="1"/>
  <c r="AS101" i="24"/>
  <c r="AW101" i="24" s="1"/>
  <c r="AY101" i="24" s="1"/>
  <c r="AQ157" i="24"/>
  <c r="AS131" i="24"/>
  <c r="AW131" i="24" s="1"/>
  <c r="BI101" i="24"/>
  <c r="AS186" i="24"/>
  <c r="AW186" i="24" s="1"/>
  <c r="AS199" i="24"/>
  <c r="AU199" i="24" s="1"/>
  <c r="BB199" i="24" s="1"/>
  <c r="AS192" i="24"/>
  <c r="AU192" i="24" s="1"/>
  <c r="BB192" i="24" s="1"/>
  <c r="BT105" i="24"/>
  <c r="AS110" i="24"/>
  <c r="AU110" i="24" s="1"/>
  <c r="BB110" i="24" s="1"/>
  <c r="CD110" i="24"/>
  <c r="AS105" i="24"/>
  <c r="AW105" i="24" s="1"/>
  <c r="AY105" i="24" s="1"/>
  <c r="BJ27" i="24"/>
  <c r="AX41" i="24"/>
  <c r="AS163" i="24"/>
  <c r="AW163" i="24" s="1"/>
  <c r="AS41" i="24"/>
  <c r="AW41" i="24" s="1"/>
  <c r="AY41" i="24" s="1"/>
  <c r="AX97" i="24"/>
  <c r="BI97" i="24"/>
  <c r="AW104" i="24"/>
  <c r="AY104" i="24" s="1"/>
  <c r="AZ104" i="24" s="1"/>
  <c r="AQ163" i="24"/>
  <c r="AS123" i="24"/>
  <c r="AU123" i="24" s="1"/>
  <c r="BB123" i="24" s="1"/>
  <c r="BI41" i="24"/>
  <c r="BJ105" i="24"/>
  <c r="BT97" i="24"/>
  <c r="AQ27" i="24"/>
  <c r="BJ41" i="24"/>
  <c r="BI105" i="24"/>
  <c r="BT41" i="24"/>
  <c r="BH105" i="24"/>
  <c r="BH97" i="24"/>
  <c r="AQ41" i="24"/>
  <c r="AS97" i="24"/>
  <c r="AU97" i="24" s="1"/>
  <c r="BB97" i="24" s="1"/>
  <c r="BJ97" i="24"/>
  <c r="AS149" i="24"/>
  <c r="AU149" i="24" s="1"/>
  <c r="BB149" i="24" s="1"/>
  <c r="AQ115" i="24"/>
  <c r="BJ87" i="24"/>
  <c r="AS210" i="24"/>
  <c r="AU210" i="24" s="1"/>
  <c r="BB210" i="24" s="1"/>
  <c r="BH14" i="24"/>
  <c r="AX14" i="24"/>
  <c r="BJ14" i="24"/>
  <c r="BT87" i="24"/>
  <c r="BH50" i="24"/>
  <c r="AQ50" i="24"/>
  <c r="AS161" i="24"/>
  <c r="AU161" i="24" s="1"/>
  <c r="BB161" i="24" s="1"/>
  <c r="AS14" i="24"/>
  <c r="AW14" i="24" s="1"/>
  <c r="AY14" i="24" s="1"/>
  <c r="AQ87" i="24"/>
  <c r="AQ14" i="24"/>
  <c r="AS172" i="24"/>
  <c r="AU172" i="24" s="1"/>
  <c r="BB172" i="24" s="1"/>
  <c r="AS155" i="24"/>
  <c r="AU155" i="24" s="1"/>
  <c r="BB155" i="24" s="1"/>
  <c r="AQ131" i="24"/>
  <c r="BH86" i="24"/>
  <c r="AK34" i="24"/>
  <c r="AQ65" i="24"/>
  <c r="BT65" i="24"/>
  <c r="AS207" i="24"/>
  <c r="AW207" i="24" s="1"/>
  <c r="BI64" i="24"/>
  <c r="BJ65" i="24"/>
  <c r="BH65" i="24"/>
  <c r="AQ86" i="24"/>
  <c r="AS64" i="24"/>
  <c r="AU64" i="24" s="1"/>
  <c r="BB64" i="24" s="1"/>
  <c r="BJ86" i="24"/>
  <c r="AK65" i="24"/>
  <c r="AS134" i="24"/>
  <c r="AU134" i="24" s="1"/>
  <c r="BB134" i="24" s="1"/>
  <c r="AS43" i="24"/>
  <c r="AU43" i="24" s="1"/>
  <c r="BB43" i="24" s="1"/>
  <c r="BI27" i="24"/>
  <c r="AS194" i="24"/>
  <c r="AU194" i="24" s="1"/>
  <c r="BB194" i="24" s="1"/>
  <c r="BT43" i="24"/>
  <c r="AX27" i="24"/>
  <c r="AN88" i="24"/>
  <c r="CD88" i="24" s="1"/>
  <c r="AS27" i="24"/>
  <c r="AU27" i="24" s="1"/>
  <c r="BB27" i="24" s="1"/>
  <c r="AS91" i="24"/>
  <c r="AW91" i="24" s="1"/>
  <c r="AY91" i="24" s="1"/>
  <c r="AS169" i="24"/>
  <c r="AU169" i="24" s="1"/>
  <c r="BB169" i="24" s="1"/>
  <c r="BI43" i="24"/>
  <c r="BI91" i="24"/>
  <c r="BH91" i="24"/>
  <c r="BT27" i="24"/>
  <c r="AS50" i="24"/>
  <c r="AW50" i="24" s="1"/>
  <c r="AY50" i="24" s="1"/>
  <c r="AS86" i="24"/>
  <c r="AU86" i="24" s="1"/>
  <c r="BB86" i="24" s="1"/>
  <c r="AQ64" i="24"/>
  <c r="BI87" i="24"/>
  <c r="BI86" i="24"/>
  <c r="AS65" i="24"/>
  <c r="AU65" i="24" s="1"/>
  <c r="BB65" i="24" s="1"/>
  <c r="BH87" i="24"/>
  <c r="BT86" i="24"/>
  <c r="AX65" i="24"/>
  <c r="AX64" i="24"/>
  <c r="AN71" i="24"/>
  <c r="BJ71" i="24" s="1"/>
  <c r="AS87" i="24"/>
  <c r="AW87" i="24" s="1"/>
  <c r="AY87" i="24" s="1"/>
  <c r="BJ64" i="24"/>
  <c r="BI50" i="24"/>
  <c r="BT64" i="24"/>
  <c r="BT50" i="24"/>
  <c r="AQ91" i="24"/>
  <c r="AQ134" i="24"/>
  <c r="AQ123" i="24"/>
  <c r="BJ91" i="24"/>
  <c r="BT91" i="24"/>
  <c r="AQ194" i="24"/>
  <c r="AN13" i="24"/>
  <c r="CD13" i="24" s="1"/>
  <c r="AS81" i="24"/>
  <c r="AS22" i="24"/>
  <c r="BJ69" i="24"/>
  <c r="AT20" i="24"/>
  <c r="BA20" i="24" s="1"/>
  <c r="AN49" i="24"/>
  <c r="BV49" i="24" s="1"/>
  <c r="AR110" i="25"/>
  <c r="AT110" i="25" s="1"/>
  <c r="AY110" i="25" s="1"/>
  <c r="CD110" i="25"/>
  <c r="AQ81" i="24"/>
  <c r="BJ43" i="24"/>
  <c r="AS69" i="24"/>
  <c r="AW69" i="24" s="1"/>
  <c r="AY69" i="24" s="1"/>
  <c r="BH22" i="24"/>
  <c r="BH43" i="24"/>
  <c r="AT7" i="24"/>
  <c r="BA7" i="24" s="1"/>
  <c r="AN15" i="24"/>
  <c r="AQ43" i="24"/>
  <c r="BI13" i="24"/>
  <c r="BI22" i="24"/>
  <c r="AS34" i="24"/>
  <c r="AW34" i="24" s="1"/>
  <c r="AY34" i="24" s="1"/>
  <c r="AZ34" i="24" s="1"/>
  <c r="AK81" i="24"/>
  <c r="BI81" i="24"/>
  <c r="AQ22" i="24"/>
  <c r="BI69" i="24"/>
  <c r="BT69" i="24"/>
  <c r="AT22" i="24"/>
  <c r="BA22" i="24" s="1"/>
  <c r="BJ81" i="24"/>
  <c r="BJ22" i="24"/>
  <c r="AQ69" i="24"/>
  <c r="BT22" i="24"/>
  <c r="BT81" i="24"/>
  <c r="BH69" i="24"/>
  <c r="BH81" i="24"/>
  <c r="AK22" i="24"/>
  <c r="AN48" i="24"/>
  <c r="AK48" i="24"/>
  <c r="AK102" i="24"/>
  <c r="AN102" i="24"/>
  <c r="CD102" i="24" s="1"/>
  <c r="AK93" i="24"/>
  <c r="AN93" i="24"/>
  <c r="CD93" i="24" s="1"/>
  <c r="AQ34" i="24"/>
  <c r="BI34" i="24"/>
  <c r="BJ34" i="24"/>
  <c r="BT34" i="24"/>
  <c r="BH34" i="24"/>
  <c r="AV12" i="24"/>
  <c r="AT12" i="24"/>
  <c r="BA12" i="24" s="1"/>
  <c r="BD5" i="24"/>
  <c r="BG5" i="24" s="1"/>
  <c r="BL5" i="24" s="1"/>
  <c r="BM5" i="24" s="1"/>
  <c r="AN8" i="24"/>
  <c r="BV8" i="24" s="1"/>
  <c r="AK8" i="24"/>
  <c r="AK94" i="24"/>
  <c r="AN94" i="24"/>
  <c r="CD94" i="24" s="1"/>
  <c r="AK37" i="24"/>
  <c r="AN37" i="24"/>
  <c r="AV94" i="24"/>
  <c r="AT94" i="24"/>
  <c r="BA94" i="24" s="1"/>
  <c r="AV9" i="24"/>
  <c r="AT9" i="24"/>
  <c r="BA9" i="24" s="1"/>
  <c r="BJ35" i="24"/>
  <c r="AK35" i="24"/>
  <c r="AK98" i="24"/>
  <c r="AN98" i="24"/>
  <c r="BV98" i="24" s="1"/>
  <c r="AK90" i="24"/>
  <c r="AN90" i="24"/>
  <c r="CD90" i="24" s="1"/>
  <c r="AK103" i="24"/>
  <c r="AN103" i="24"/>
  <c r="AQ103" i="24" s="1"/>
  <c r="AV24" i="24"/>
  <c r="AT24" i="24"/>
  <c r="BA24" i="24" s="1"/>
  <c r="AV16" i="24"/>
  <c r="AT16" i="24"/>
  <c r="BA16" i="24" s="1"/>
  <c r="AK52" i="24"/>
  <c r="AN52" i="24"/>
  <c r="BV52" i="24" s="1"/>
  <c r="AN84" i="24"/>
  <c r="AK84" i="24"/>
  <c r="AN61" i="24"/>
  <c r="AK61" i="24"/>
  <c r="AK99" i="24"/>
  <c r="AN99" i="24"/>
  <c r="AK39" i="24"/>
  <c r="AN39" i="24"/>
  <c r="BV39" i="24" s="1"/>
  <c r="AN11" i="24"/>
  <c r="BV11" i="24" s="1"/>
  <c r="AK11" i="24"/>
  <c r="AK77" i="24"/>
  <c r="AN77" i="24"/>
  <c r="CD77" i="24" s="1"/>
  <c r="AN58" i="24"/>
  <c r="AK58" i="24"/>
  <c r="AS35" i="24"/>
  <c r="AU35" i="24" s="1"/>
  <c r="BB35" i="24" s="1"/>
  <c r="BT35" i="24"/>
  <c r="AX35" i="24"/>
  <c r="AN44" i="24"/>
  <c r="BV44" i="24" s="1"/>
  <c r="AK44" i="24"/>
  <c r="AK66" i="24"/>
  <c r="AN66" i="24"/>
  <c r="BV66" i="24" s="1"/>
  <c r="AN26" i="24"/>
  <c r="BV26" i="24" s="1"/>
  <c r="AK26" i="24"/>
  <c r="AK20" i="24"/>
  <c r="AN20" i="24"/>
  <c r="AN80" i="24"/>
  <c r="AK80" i="24"/>
  <c r="AK17" i="24"/>
  <c r="AN17" i="24"/>
  <c r="BV17" i="24" s="1"/>
  <c r="AK24" i="24"/>
  <c r="AN24" i="24"/>
  <c r="BV24" i="24" s="1"/>
  <c r="AN47" i="24"/>
  <c r="AK47" i="24"/>
  <c r="AN67" i="24"/>
  <c r="CD67" i="24" s="1"/>
  <c r="AK67" i="24"/>
  <c r="AN57" i="24"/>
  <c r="AK57" i="24"/>
  <c r="AK62" i="24"/>
  <c r="AN62" i="24"/>
  <c r="AV30" i="24"/>
  <c r="AT30" i="24"/>
  <c r="BA30" i="24" s="1"/>
  <c r="AN9" i="24"/>
  <c r="BT9" i="24" s="1"/>
  <c r="AK9" i="24"/>
  <c r="AN75" i="24"/>
  <c r="BV75" i="24" s="1"/>
  <c r="AK75" i="24"/>
  <c r="AQ35" i="24"/>
  <c r="BI35" i="24"/>
  <c r="AN38" i="24"/>
  <c r="BV38" i="24" s="1"/>
  <c r="AK38" i="24"/>
  <c r="AV17" i="24"/>
  <c r="AT17" i="24"/>
  <c r="BA17" i="24" s="1"/>
  <c r="AK45" i="24"/>
  <c r="AN45" i="24"/>
  <c r="AV26" i="24"/>
  <c r="AT26" i="24"/>
  <c r="BA26" i="24" s="1"/>
  <c r="AK30" i="24"/>
  <c r="AN30" i="24"/>
  <c r="BV30" i="24" s="1"/>
  <c r="AK76" i="24"/>
  <c r="AN76" i="24"/>
  <c r="BV76" i="24" s="1"/>
  <c r="AN12" i="24"/>
  <c r="BV12" i="24" s="1"/>
  <c r="AK12" i="24"/>
  <c r="AN16" i="24"/>
  <c r="BV16" i="24" s="1"/>
  <c r="AK16" i="24"/>
  <c r="AK6" i="24"/>
  <c r="AN6" i="24"/>
  <c r="AN7" i="24"/>
  <c r="BV7" i="24" s="1"/>
  <c r="AK7" i="24"/>
  <c r="BE5" i="24"/>
  <c r="BS5" i="24" s="1"/>
  <c r="AQ110" i="24"/>
  <c r="AU185" i="24"/>
  <c r="BB185" i="24" s="1"/>
  <c r="AW185" i="24"/>
  <c r="AU201" i="24"/>
  <c r="BB201" i="24" s="1"/>
  <c r="AW201" i="24"/>
  <c r="AU151" i="24"/>
  <c r="BB151" i="24" s="1"/>
  <c r="AW151" i="24"/>
  <c r="AU129" i="24"/>
  <c r="BB129" i="24" s="1"/>
  <c r="AW129" i="24"/>
  <c r="AU158" i="24"/>
  <c r="BB158" i="24" s="1"/>
  <c r="AW158" i="24"/>
  <c r="AU315" i="24"/>
  <c r="BB315" i="24" s="1"/>
  <c r="AW315" i="24"/>
  <c r="AU307" i="24"/>
  <c r="BB307" i="24" s="1"/>
  <c r="AW307" i="24"/>
  <c r="AW233" i="24"/>
  <c r="AU233" i="24"/>
  <c r="BB233" i="24" s="1"/>
  <c r="AW227" i="24"/>
  <c r="AU227" i="24"/>
  <c r="BB227" i="24" s="1"/>
  <c r="AW241" i="24"/>
  <c r="AU241" i="24"/>
  <c r="BB241" i="24" s="1"/>
  <c r="AW239" i="24"/>
  <c r="AU239" i="24"/>
  <c r="BB239" i="24" s="1"/>
  <c r="AU281" i="24"/>
  <c r="BB281" i="24" s="1"/>
  <c r="AW281" i="24"/>
  <c r="AU124" i="24"/>
  <c r="BB124" i="24" s="1"/>
  <c r="AW124" i="24"/>
  <c r="AU113" i="24"/>
  <c r="BB113" i="24" s="1"/>
  <c r="AW113" i="24"/>
  <c r="AU118" i="24"/>
  <c r="BB118" i="24" s="1"/>
  <c r="AW118" i="24"/>
  <c r="AU285" i="24"/>
  <c r="BB285" i="24" s="1"/>
  <c r="AW285" i="24"/>
  <c r="AU286" i="24"/>
  <c r="BB286" i="24" s="1"/>
  <c r="AW286" i="24"/>
  <c r="AU125" i="24"/>
  <c r="BB125" i="24" s="1"/>
  <c r="AW125" i="24"/>
  <c r="AU261" i="24"/>
  <c r="BB261" i="24" s="1"/>
  <c r="AW261" i="24"/>
  <c r="AU300" i="24"/>
  <c r="BB300" i="24" s="1"/>
  <c r="AW300" i="24"/>
  <c r="AU216" i="24"/>
  <c r="BB216" i="24" s="1"/>
  <c r="AW216" i="24"/>
  <c r="AU274" i="24"/>
  <c r="BB274" i="24" s="1"/>
  <c r="AW274" i="24"/>
  <c r="AU259" i="24"/>
  <c r="BB259" i="24" s="1"/>
  <c r="AW259" i="24"/>
  <c r="AU294" i="24"/>
  <c r="BB294" i="24" s="1"/>
  <c r="AW294" i="24"/>
  <c r="AU299" i="24"/>
  <c r="BB299" i="24" s="1"/>
  <c r="AW299" i="24"/>
  <c r="AU173" i="24"/>
  <c r="BB173" i="24" s="1"/>
  <c r="AW173" i="24"/>
  <c r="AU221" i="24"/>
  <c r="BB221" i="24" s="1"/>
  <c r="AW221" i="24"/>
  <c r="AU271" i="24"/>
  <c r="BB271" i="24" s="1"/>
  <c r="AW271" i="24"/>
  <c r="AU280" i="24"/>
  <c r="BB280" i="24" s="1"/>
  <c r="AW280" i="24"/>
  <c r="AU137" i="24"/>
  <c r="BB137" i="24" s="1"/>
  <c r="AW137" i="24"/>
  <c r="AW247" i="24"/>
  <c r="AU247" i="24"/>
  <c r="BB247" i="24" s="1"/>
  <c r="AU288" i="24"/>
  <c r="BB288" i="24" s="1"/>
  <c r="AW288" i="24"/>
  <c r="AU262" i="24"/>
  <c r="BB262" i="24" s="1"/>
  <c r="AW262" i="24"/>
  <c r="AU190" i="24"/>
  <c r="BB190" i="24" s="1"/>
  <c r="AW190" i="24"/>
  <c r="AU183" i="24"/>
  <c r="BB183" i="24" s="1"/>
  <c r="AW183" i="24"/>
  <c r="AU197" i="24"/>
  <c r="BB197" i="24" s="1"/>
  <c r="AW197" i="24"/>
  <c r="AU202" i="24"/>
  <c r="BB202" i="24" s="1"/>
  <c r="AW202" i="24"/>
  <c r="AU187" i="24"/>
  <c r="BB187" i="24" s="1"/>
  <c r="AW187" i="24"/>
  <c r="AU200" i="24"/>
  <c r="BB200" i="24" s="1"/>
  <c r="AW200" i="24"/>
  <c r="AU180" i="24"/>
  <c r="BB180" i="24" s="1"/>
  <c r="AW180" i="24"/>
  <c r="AU264" i="24"/>
  <c r="BB264" i="24" s="1"/>
  <c r="AW264" i="24"/>
  <c r="AU236" i="24"/>
  <c r="BB236" i="24" s="1"/>
  <c r="AW236" i="24"/>
  <c r="AU287" i="24"/>
  <c r="BB287" i="24" s="1"/>
  <c r="AW287" i="24"/>
  <c r="AU309" i="24"/>
  <c r="BB309" i="24" s="1"/>
  <c r="AW309" i="24"/>
  <c r="AU272" i="24"/>
  <c r="BB272" i="24" s="1"/>
  <c r="AW272" i="24"/>
  <c r="AU121" i="24"/>
  <c r="BB121" i="24" s="1"/>
  <c r="AW121" i="24"/>
  <c r="AU228" i="24"/>
  <c r="BB228" i="24" s="1"/>
  <c r="AW228" i="24"/>
  <c r="AU290" i="24"/>
  <c r="BB290" i="24" s="1"/>
  <c r="AW290" i="24"/>
  <c r="AU175" i="24"/>
  <c r="BB175" i="24" s="1"/>
  <c r="AW175" i="24"/>
  <c r="AU302" i="24"/>
  <c r="BB302" i="24" s="1"/>
  <c r="AW302" i="24"/>
  <c r="AU301" i="24"/>
  <c r="BB301" i="24" s="1"/>
  <c r="AW301" i="24"/>
  <c r="AU171" i="24"/>
  <c r="BB171" i="24" s="1"/>
  <c r="AW171" i="24"/>
  <c r="AU139" i="24"/>
  <c r="BB139" i="24" s="1"/>
  <c r="AW139" i="24"/>
  <c r="AU246" i="24"/>
  <c r="BB246" i="24" s="1"/>
  <c r="AW246" i="24"/>
  <c r="AU244" i="24"/>
  <c r="BB244" i="24" s="1"/>
  <c r="AW244" i="24"/>
  <c r="AU252" i="24"/>
  <c r="BB252" i="24" s="1"/>
  <c r="AW252" i="24"/>
  <c r="AU293" i="24"/>
  <c r="BB293" i="24" s="1"/>
  <c r="AW293" i="24"/>
  <c r="AU178" i="24"/>
  <c r="BB178" i="24" s="1"/>
  <c r="AW178" i="24"/>
  <c r="AU270" i="24"/>
  <c r="BB270" i="24" s="1"/>
  <c r="AW270" i="24"/>
  <c r="AU220" i="24"/>
  <c r="BB220" i="24" s="1"/>
  <c r="AW220" i="24"/>
  <c r="AU276" i="24"/>
  <c r="BB276" i="24" s="1"/>
  <c r="AW276" i="24"/>
  <c r="AU142" i="24"/>
  <c r="BB142" i="24" s="1"/>
  <c r="AW142" i="24"/>
  <c r="AU248" i="24"/>
  <c r="BB248" i="24" s="1"/>
  <c r="AW248" i="24"/>
  <c r="AU310" i="24"/>
  <c r="BB310" i="24" s="1"/>
  <c r="AW310" i="24"/>
  <c r="AU257" i="24"/>
  <c r="BB257" i="24" s="1"/>
  <c r="AW257" i="24"/>
  <c r="AU177" i="24"/>
  <c r="BB177" i="24" s="1"/>
  <c r="AW177" i="24"/>
  <c r="AU116" i="24"/>
  <c r="BB116" i="24" s="1"/>
  <c r="AW116" i="24"/>
  <c r="AU153" i="24"/>
  <c r="BB153" i="24" s="1"/>
  <c r="AW153" i="24"/>
  <c r="AU292" i="24"/>
  <c r="BB292" i="24" s="1"/>
  <c r="AW292" i="24"/>
  <c r="AU224" i="24"/>
  <c r="BB224" i="24" s="1"/>
  <c r="AW224" i="24"/>
  <c r="AU250" i="24"/>
  <c r="BB250" i="24" s="1"/>
  <c r="AW250" i="24"/>
  <c r="AU313" i="24"/>
  <c r="BB313" i="24" s="1"/>
  <c r="AW313" i="24"/>
  <c r="AU266" i="24"/>
  <c r="BB266" i="24" s="1"/>
  <c r="AW266" i="24"/>
  <c r="AU256" i="24"/>
  <c r="BB256" i="24" s="1"/>
  <c r="AW256" i="24"/>
  <c r="AW263" i="24"/>
  <c r="AU263" i="24"/>
  <c r="BB263" i="24" s="1"/>
  <c r="AU298" i="24"/>
  <c r="BB298" i="24" s="1"/>
  <c r="AW298" i="24"/>
  <c r="AU237" i="24"/>
  <c r="BB237" i="24" s="1"/>
  <c r="AW237" i="24"/>
  <c r="AU234" i="24"/>
  <c r="BB234" i="24" s="1"/>
  <c r="AW234" i="24"/>
  <c r="AU269" i="24"/>
  <c r="BB269" i="24" s="1"/>
  <c r="AW269" i="24"/>
  <c r="AU277" i="24"/>
  <c r="BB277" i="24" s="1"/>
  <c r="AW277" i="24"/>
  <c r="AU144" i="24"/>
  <c r="BB144" i="24" s="1"/>
  <c r="AW144" i="24"/>
  <c r="AU160" i="24"/>
  <c r="BB160" i="24" s="1"/>
  <c r="AW160" i="24"/>
  <c r="AU316" i="24"/>
  <c r="BB316" i="24" s="1"/>
  <c r="AW316" i="24"/>
  <c r="AU258" i="24"/>
  <c r="BB258" i="24" s="1"/>
  <c r="AW258" i="24"/>
  <c r="AU218" i="24"/>
  <c r="BB218" i="24" s="1"/>
  <c r="AW218" i="24"/>
  <c r="AU296" i="24"/>
  <c r="BB296" i="24" s="1"/>
  <c r="AW296" i="24"/>
  <c r="AW303" i="24"/>
  <c r="AU303" i="24"/>
  <c r="BB303" i="24" s="1"/>
  <c r="AW231" i="24"/>
  <c r="AU231" i="24"/>
  <c r="BB231" i="24" s="1"/>
  <c r="AU154" i="24"/>
  <c r="BB154" i="24" s="1"/>
  <c r="AW154" i="24"/>
  <c r="AU143" i="24"/>
  <c r="BB143" i="24" s="1"/>
  <c r="AW143" i="24"/>
  <c r="AU111" i="24"/>
  <c r="BB111" i="24" s="1"/>
  <c r="AW111" i="24"/>
  <c r="AU140" i="24"/>
  <c r="BB140" i="24" s="1"/>
  <c r="AW140" i="24"/>
  <c r="AW297" i="24"/>
  <c r="AU297" i="24"/>
  <c r="BB297" i="24" s="1"/>
  <c r="AU314" i="24"/>
  <c r="BB314" i="24" s="1"/>
  <c r="AW314" i="24"/>
  <c r="AU283" i="24"/>
  <c r="BB283" i="24" s="1"/>
  <c r="AW283" i="24"/>
  <c r="AU145" i="24"/>
  <c r="BB145" i="24" s="1"/>
  <c r="AW145" i="24"/>
  <c r="AU148" i="24"/>
  <c r="BB148" i="24" s="1"/>
  <c r="AW148" i="24"/>
  <c r="AU222" i="24"/>
  <c r="BB222" i="24" s="1"/>
  <c r="AW222" i="24"/>
  <c r="AU223" i="24"/>
  <c r="BB223" i="24" s="1"/>
  <c r="AW223" i="24"/>
  <c r="AU267" i="24"/>
  <c r="BB267" i="24" s="1"/>
  <c r="AW267" i="24"/>
  <c r="AW279" i="24"/>
  <c r="AU279" i="24"/>
  <c r="BB279" i="24" s="1"/>
  <c r="AU253" i="24"/>
  <c r="BB253" i="24" s="1"/>
  <c r="AW253" i="24"/>
  <c r="AU273" i="24"/>
  <c r="BB273" i="24" s="1"/>
  <c r="AW273" i="24"/>
  <c r="AU229" i="24"/>
  <c r="BB229" i="24" s="1"/>
  <c r="AW229" i="24"/>
  <c r="AU251" i="24"/>
  <c r="BB251" i="24" s="1"/>
  <c r="AW251" i="24"/>
  <c r="AU254" i="24"/>
  <c r="BB254" i="24" s="1"/>
  <c r="AW254" i="24"/>
  <c r="AU268" i="24"/>
  <c r="BB268" i="24" s="1"/>
  <c r="AW268" i="24"/>
  <c r="AU127" i="24"/>
  <c r="BB127" i="24" s="1"/>
  <c r="AW127" i="24"/>
  <c r="AU138" i="24"/>
  <c r="BB138" i="24" s="1"/>
  <c r="AW138" i="24"/>
  <c r="AU120" i="24"/>
  <c r="BB120" i="24" s="1"/>
  <c r="AW120" i="24"/>
  <c r="AU235" i="24"/>
  <c r="BB235" i="24" s="1"/>
  <c r="AW235" i="24"/>
  <c r="AU275" i="24"/>
  <c r="BB275" i="24" s="1"/>
  <c r="AW275" i="24"/>
  <c r="AU243" i="24"/>
  <c r="BB243" i="24" s="1"/>
  <c r="AW243" i="24"/>
  <c r="AU282" i="24"/>
  <c r="BB282" i="24" s="1"/>
  <c r="AW282" i="24"/>
  <c r="AU219" i="24"/>
  <c r="BB219" i="24" s="1"/>
  <c r="AW219" i="24"/>
  <c r="AU240" i="24"/>
  <c r="BB240" i="24" s="1"/>
  <c r="AW240" i="24"/>
  <c r="AU230" i="24"/>
  <c r="BB230" i="24" s="1"/>
  <c r="AW230" i="24"/>
  <c r="AU179" i="24"/>
  <c r="BB179" i="24" s="1"/>
  <c r="AW179" i="24"/>
  <c r="AW135" i="24"/>
  <c r="AU135" i="24"/>
  <c r="BB135" i="24" s="1"/>
  <c r="AU164" i="24"/>
  <c r="BB164" i="24" s="1"/>
  <c r="AW164" i="24"/>
  <c r="AU126" i="24"/>
  <c r="BB126" i="24" s="1"/>
  <c r="AW126" i="24"/>
  <c r="AU245" i="24"/>
  <c r="BB245" i="24" s="1"/>
  <c r="AW245" i="24"/>
  <c r="AU249" i="24"/>
  <c r="BB249" i="24" s="1"/>
  <c r="AW249" i="24"/>
  <c r="AU304" i="24"/>
  <c r="BB304" i="24" s="1"/>
  <c r="AW304" i="24"/>
  <c r="AP110" i="25"/>
  <c r="AT173" i="25"/>
  <c r="AY173" i="25" s="1"/>
  <c r="AU173" i="25"/>
  <c r="AT210" i="25"/>
  <c r="AY210" i="25" s="1"/>
  <c r="AU210" i="25"/>
  <c r="AT171" i="25"/>
  <c r="AY171" i="25" s="1"/>
  <c r="AU171" i="25"/>
  <c r="AT191" i="25"/>
  <c r="AY191" i="25" s="1"/>
  <c r="AU191" i="25"/>
  <c r="AT209" i="25"/>
  <c r="AY209" i="25" s="1"/>
  <c r="AU209" i="25"/>
  <c r="AT175" i="25"/>
  <c r="AY175" i="25" s="1"/>
  <c r="AU175" i="25"/>
  <c r="AU123" i="25"/>
  <c r="AT123" i="25"/>
  <c r="AY123" i="25" s="1"/>
  <c r="AU203" i="25"/>
  <c r="AT203" i="25"/>
  <c r="AY203" i="25" s="1"/>
  <c r="AU167" i="25"/>
  <c r="AT167" i="25"/>
  <c r="AY167" i="25" s="1"/>
  <c r="AT148" i="25"/>
  <c r="AY148" i="25" s="1"/>
  <c r="AU148" i="25"/>
  <c r="AT199" i="25"/>
  <c r="AY199" i="25" s="1"/>
  <c r="AU199" i="25"/>
  <c r="AT136" i="25"/>
  <c r="AY136" i="25" s="1"/>
  <c r="AU136" i="25"/>
  <c r="AT180" i="25"/>
  <c r="AY180" i="25" s="1"/>
  <c r="AU180" i="25"/>
  <c r="AT121" i="25"/>
  <c r="AY121" i="25" s="1"/>
  <c r="AU121" i="25"/>
  <c r="AT201" i="25"/>
  <c r="AY201" i="25" s="1"/>
  <c r="AU201" i="25"/>
  <c r="AU147" i="25"/>
  <c r="AT147" i="25"/>
  <c r="AY147" i="25" s="1"/>
  <c r="AT111" i="25"/>
  <c r="AY111" i="25" s="1"/>
  <c r="AU111" i="25"/>
  <c r="AT194" i="25"/>
  <c r="AY194" i="25" s="1"/>
  <c r="AU194" i="25"/>
  <c r="AT202" i="25"/>
  <c r="AY202" i="25" s="1"/>
  <c r="AU202" i="25"/>
  <c r="AT122" i="25"/>
  <c r="AY122" i="25" s="1"/>
  <c r="AU122" i="25"/>
  <c r="AT130" i="25"/>
  <c r="AY130" i="25" s="1"/>
  <c r="AU130" i="25"/>
  <c r="AT115" i="25"/>
  <c r="AY115" i="25" s="1"/>
  <c r="AU115" i="25"/>
  <c r="AT206" i="25"/>
  <c r="AY206" i="25" s="1"/>
  <c r="AU206" i="25"/>
  <c r="AT178" i="25"/>
  <c r="AY178" i="25" s="1"/>
  <c r="AU178" i="25"/>
  <c r="AT186" i="25"/>
  <c r="AY186" i="25" s="1"/>
  <c r="AU186" i="25"/>
  <c r="AT112" i="25"/>
  <c r="AY112" i="25" s="1"/>
  <c r="AU112" i="25"/>
  <c r="AT150" i="25"/>
  <c r="AY150" i="25" s="1"/>
  <c r="AU150" i="25"/>
  <c r="AT160" i="25"/>
  <c r="AY160" i="25" s="1"/>
  <c r="AU160" i="25"/>
  <c r="AT163" i="25"/>
  <c r="AY163" i="25" s="1"/>
  <c r="AU163" i="25"/>
  <c r="AT205" i="25"/>
  <c r="AY205" i="25" s="1"/>
  <c r="AU205" i="25"/>
  <c r="AT162" i="25"/>
  <c r="AY162" i="25" s="1"/>
  <c r="AU162" i="25"/>
  <c r="AT144" i="25"/>
  <c r="AY144" i="25" s="1"/>
  <c r="AU144" i="25"/>
  <c r="AT119" i="25"/>
  <c r="AY119" i="25" s="1"/>
  <c r="AU119" i="25"/>
  <c r="AT181" i="25"/>
  <c r="AY181" i="25" s="1"/>
  <c r="AU181" i="25"/>
  <c r="AT197" i="25"/>
  <c r="AY197" i="25" s="1"/>
  <c r="AU197" i="25"/>
  <c r="AU207" i="25"/>
  <c r="AT207" i="25"/>
  <c r="AY207" i="25" s="1"/>
  <c r="AT134" i="25"/>
  <c r="AY134" i="25" s="1"/>
  <c r="AU134" i="25"/>
  <c r="AT189" i="25"/>
  <c r="AY189" i="25" s="1"/>
  <c r="AU189" i="25"/>
  <c r="AT156" i="25"/>
  <c r="AY156" i="25" s="1"/>
  <c r="AU156" i="25"/>
  <c r="AT138" i="25"/>
  <c r="AY138" i="25" s="1"/>
  <c r="AU138" i="25"/>
  <c r="AT113" i="25"/>
  <c r="AY113" i="25" s="1"/>
  <c r="AU113" i="25"/>
  <c r="AT131" i="25"/>
  <c r="AY131" i="25" s="1"/>
  <c r="AU131" i="25"/>
  <c r="AT141" i="25"/>
  <c r="AY141" i="25" s="1"/>
  <c r="AU141" i="25"/>
  <c r="AT132" i="25"/>
  <c r="AY132" i="25" s="1"/>
  <c r="AU132" i="25"/>
  <c r="AU135" i="25"/>
  <c r="AT135" i="25"/>
  <c r="AY135" i="25" s="1"/>
  <c r="AT155" i="25"/>
  <c r="AY155" i="25" s="1"/>
  <c r="AU155" i="25"/>
  <c r="AT208" i="25"/>
  <c r="AY208" i="25" s="1"/>
  <c r="AU208" i="25"/>
  <c r="AT165" i="25"/>
  <c r="AY165" i="25" s="1"/>
  <c r="AU165" i="25"/>
  <c r="AT145" i="25"/>
  <c r="AY145" i="25" s="1"/>
  <c r="AU145" i="25"/>
  <c r="AT137" i="25"/>
  <c r="AY137" i="25" s="1"/>
  <c r="AU137" i="25"/>
  <c r="AT125" i="25"/>
  <c r="AY125" i="25" s="1"/>
  <c r="AU125" i="25"/>
  <c r="AT193" i="25"/>
  <c r="AY193" i="25" s="1"/>
  <c r="AU193" i="25"/>
  <c r="AU127" i="25"/>
  <c r="AT127" i="25"/>
  <c r="AY127" i="25" s="1"/>
  <c r="AT157" i="25"/>
  <c r="AY157" i="25" s="1"/>
  <c r="AU157" i="25"/>
  <c r="AT151" i="25"/>
  <c r="AY151" i="25" s="1"/>
  <c r="AU151" i="25"/>
  <c r="AT117" i="25"/>
  <c r="AY117" i="25" s="1"/>
  <c r="AU117" i="25"/>
  <c r="AT172" i="25"/>
  <c r="AY172" i="25" s="1"/>
  <c r="AU172" i="25"/>
  <c r="AT146" i="25"/>
  <c r="AY146" i="25" s="1"/>
  <c r="AU146" i="25"/>
  <c r="AT184" i="25"/>
  <c r="AY184" i="25" s="1"/>
  <c r="AU184" i="25"/>
  <c r="AT154" i="25"/>
  <c r="AY154" i="25" s="1"/>
  <c r="AU154" i="25"/>
  <c r="AT183" i="25"/>
  <c r="AY183" i="25" s="1"/>
  <c r="AU183" i="25"/>
  <c r="AT190" i="25"/>
  <c r="AY190" i="25" s="1"/>
  <c r="AU190" i="25"/>
  <c r="AT116" i="25"/>
  <c r="AY116" i="25" s="1"/>
  <c r="AU116" i="25"/>
  <c r="AT153" i="25"/>
  <c r="AY153" i="25" s="1"/>
  <c r="AU153" i="25"/>
  <c r="AT128" i="25"/>
  <c r="AY128" i="25" s="1"/>
  <c r="AU128" i="25"/>
  <c r="AT118" i="25"/>
  <c r="AY118" i="25" s="1"/>
  <c r="AU118" i="25"/>
  <c r="AT164" i="25"/>
  <c r="AY164" i="25" s="1"/>
  <c r="AU164" i="25"/>
  <c r="AT133" i="25"/>
  <c r="AY133" i="25" s="1"/>
  <c r="AU133" i="25"/>
  <c r="AT185" i="25"/>
  <c r="AY185" i="25" s="1"/>
  <c r="AU185" i="25"/>
  <c r="AT188" i="25"/>
  <c r="AY188" i="25" s="1"/>
  <c r="AU188" i="25"/>
  <c r="AT158" i="25"/>
  <c r="AY158" i="25" s="1"/>
  <c r="AU158" i="25"/>
  <c r="AT126" i="25"/>
  <c r="AY126" i="25" s="1"/>
  <c r="AU126" i="25"/>
  <c r="AT149" i="25"/>
  <c r="AY149" i="25" s="1"/>
  <c r="AU149" i="25"/>
  <c r="AT195" i="25"/>
  <c r="AY195" i="25" s="1"/>
  <c r="AU195" i="25"/>
  <c r="AT177" i="25"/>
  <c r="AY177" i="25" s="1"/>
  <c r="AU177" i="25"/>
  <c r="AT196" i="25"/>
  <c r="AY196" i="25" s="1"/>
  <c r="AU196" i="25"/>
  <c r="AT176" i="25"/>
  <c r="AY176" i="25" s="1"/>
  <c r="AU176" i="25"/>
  <c r="AT174" i="25"/>
  <c r="AY174" i="25" s="1"/>
  <c r="AU174" i="25"/>
  <c r="AT168" i="25"/>
  <c r="AY168" i="25" s="1"/>
  <c r="AU168" i="25"/>
  <c r="AT198" i="25"/>
  <c r="AY198" i="25" s="1"/>
  <c r="AU198" i="25"/>
  <c r="AU187" i="25"/>
  <c r="AT187" i="25"/>
  <c r="AY187" i="25" s="1"/>
  <c r="AT159" i="25"/>
  <c r="AY159" i="25" s="1"/>
  <c r="AU159" i="25"/>
  <c r="AT182" i="25"/>
  <c r="AY182" i="25" s="1"/>
  <c r="AU182" i="25"/>
  <c r="AT152" i="25"/>
  <c r="AY152" i="25" s="1"/>
  <c r="AU152" i="25"/>
  <c r="AT129" i="25"/>
  <c r="AY129" i="25" s="1"/>
  <c r="AU129" i="25"/>
  <c r="AT139" i="25"/>
  <c r="AY139" i="25" s="1"/>
  <c r="AU139" i="25"/>
  <c r="AT200" i="25"/>
  <c r="AY200" i="25" s="1"/>
  <c r="AU200" i="25"/>
  <c r="AT114" i="25"/>
  <c r="AY114" i="25" s="1"/>
  <c r="AU114" i="25"/>
  <c r="AT142" i="25"/>
  <c r="AY142" i="25" s="1"/>
  <c r="AU142" i="25"/>
  <c r="AU179" i="25"/>
  <c r="AT179" i="25"/>
  <c r="AY179" i="25" s="1"/>
  <c r="AT140" i="25"/>
  <c r="AY140" i="25" s="1"/>
  <c r="AU140" i="25"/>
  <c r="AT161" i="25"/>
  <c r="AY161" i="25" s="1"/>
  <c r="AU161" i="25"/>
  <c r="AT169" i="25"/>
  <c r="AY169" i="25" s="1"/>
  <c r="AU169" i="25"/>
  <c r="AT192" i="25"/>
  <c r="AY192" i="25" s="1"/>
  <c r="AU192" i="25"/>
  <c r="AT124" i="25"/>
  <c r="AY124" i="25" s="1"/>
  <c r="AU124" i="25"/>
  <c r="AT204" i="25"/>
  <c r="AY204" i="25" s="1"/>
  <c r="AU204" i="25"/>
  <c r="AU143" i="25"/>
  <c r="AT143" i="25"/>
  <c r="AY143" i="25" s="1"/>
  <c r="AT170" i="25"/>
  <c r="AY170" i="25" s="1"/>
  <c r="AU170" i="25"/>
  <c r="AT166" i="25"/>
  <c r="AY166" i="25" s="1"/>
  <c r="AU166" i="25"/>
  <c r="AT120" i="25"/>
  <c r="AY120" i="25" s="1"/>
  <c r="AU120" i="25"/>
  <c r="AT311" i="25"/>
  <c r="AU311" i="25"/>
  <c r="AT252" i="25"/>
  <c r="AU252" i="25"/>
  <c r="AT277" i="25"/>
  <c r="AU277" i="25"/>
  <c r="AT221" i="25"/>
  <c r="AU221" i="25"/>
  <c r="AT280" i="25"/>
  <c r="AU280" i="25"/>
  <c r="AT263" i="25"/>
  <c r="AU263" i="25"/>
  <c r="AU259" i="25"/>
  <c r="AT259" i="25"/>
  <c r="AT234" i="25"/>
  <c r="AU234" i="25"/>
  <c r="AT245" i="25"/>
  <c r="AU245" i="25"/>
  <c r="AT290" i="25"/>
  <c r="AU290" i="25"/>
  <c r="AT220" i="25"/>
  <c r="AU220" i="25"/>
  <c r="AT305" i="25"/>
  <c r="AU305" i="25"/>
  <c r="AT217" i="25"/>
  <c r="AU217" i="25"/>
  <c r="AT288" i="25"/>
  <c r="AU288" i="25"/>
  <c r="AT258" i="25"/>
  <c r="AU258" i="25"/>
  <c r="AT278" i="25"/>
  <c r="AU278" i="25"/>
  <c r="AU271" i="25"/>
  <c r="AT271" i="25"/>
  <c r="AT282" i="25"/>
  <c r="AU282" i="25"/>
  <c r="AU235" i="25"/>
  <c r="AT235" i="25"/>
  <c r="AT301" i="25"/>
  <c r="AU301" i="25"/>
  <c r="AT275" i="25"/>
  <c r="AU275" i="25"/>
  <c r="AU287" i="25"/>
  <c r="AT287" i="25"/>
  <c r="AT239" i="25"/>
  <c r="AU239" i="25"/>
  <c r="AT226" i="25"/>
  <c r="AU226" i="25"/>
  <c r="AT299" i="25"/>
  <c r="AU299" i="25"/>
  <c r="AT289" i="25"/>
  <c r="AU289" i="25"/>
  <c r="AT253" i="25"/>
  <c r="AU253" i="25"/>
  <c r="AT281" i="25"/>
  <c r="AU281" i="25"/>
  <c r="AT304" i="25"/>
  <c r="AU304" i="25"/>
  <c r="AT265" i="25"/>
  <c r="AU265" i="25"/>
  <c r="AT224" i="25"/>
  <c r="AU224" i="25"/>
  <c r="AT269" i="25"/>
  <c r="AU269" i="25"/>
  <c r="AT313" i="25"/>
  <c r="AU313" i="25"/>
  <c r="AT233" i="25"/>
  <c r="AU233" i="25"/>
  <c r="AT303" i="25"/>
  <c r="AU303" i="25"/>
  <c r="AU302" i="25"/>
  <c r="AT302" i="25"/>
  <c r="AT297" i="25"/>
  <c r="AU297" i="25"/>
  <c r="AT223" i="25"/>
  <c r="AU223" i="25"/>
  <c r="AT268" i="25"/>
  <c r="AU268" i="25"/>
  <c r="AT298" i="25"/>
  <c r="AU298" i="25"/>
  <c r="AT225" i="25"/>
  <c r="AU225" i="25"/>
  <c r="AT312" i="25"/>
  <c r="AU312" i="25"/>
  <c r="AT242" i="25"/>
  <c r="AU242" i="25"/>
  <c r="AT264" i="25"/>
  <c r="AU264" i="25"/>
  <c r="AT260" i="25"/>
  <c r="AU260" i="25"/>
  <c r="AT309" i="25"/>
  <c r="AU309" i="25"/>
  <c r="AT229" i="25"/>
  <c r="AU229" i="25"/>
  <c r="AT247" i="25"/>
  <c r="AU247" i="25"/>
  <c r="AT307" i="25"/>
  <c r="AU307" i="25"/>
  <c r="AT216" i="25"/>
  <c r="AU216" i="25"/>
  <c r="AT250" i="25"/>
  <c r="AU250" i="25"/>
  <c r="AT251" i="25"/>
  <c r="AU251" i="25"/>
  <c r="AT227" i="25"/>
  <c r="AU227" i="25"/>
  <c r="AT262" i="25"/>
  <c r="AU262" i="25"/>
  <c r="AU294" i="25"/>
  <c r="AT294" i="25"/>
  <c r="AT314" i="25"/>
  <c r="AU314" i="25"/>
  <c r="AU295" i="25"/>
  <c r="AT295" i="25"/>
  <c r="AT296" i="25"/>
  <c r="AU296" i="25"/>
  <c r="AT279" i="25"/>
  <c r="AU279" i="25"/>
  <c r="AT246" i="25"/>
  <c r="AU246" i="25"/>
  <c r="AT236" i="25"/>
  <c r="AU236" i="25"/>
  <c r="AT284" i="25"/>
  <c r="AU284" i="25"/>
  <c r="AU306" i="25"/>
  <c r="AT306" i="25"/>
  <c r="AT308" i="25"/>
  <c r="AU308" i="25"/>
  <c r="AT238" i="25"/>
  <c r="AU238" i="25"/>
  <c r="AT292" i="25"/>
  <c r="AU292" i="25"/>
  <c r="AT244" i="25"/>
  <c r="AU244" i="25"/>
  <c r="AT285" i="25"/>
  <c r="AU285" i="25"/>
  <c r="AT293" i="25"/>
  <c r="AU293" i="25"/>
  <c r="AT270" i="25"/>
  <c r="AU270" i="25"/>
  <c r="AT266" i="25"/>
  <c r="AU266" i="25"/>
  <c r="AT291" i="25"/>
  <c r="AU291" i="25"/>
  <c r="AT248" i="25"/>
  <c r="AU248" i="25"/>
  <c r="AT300" i="25"/>
  <c r="AU300" i="25"/>
  <c r="AT219" i="25"/>
  <c r="AU219" i="25"/>
  <c r="AT315" i="25"/>
  <c r="AU315" i="25"/>
  <c r="AT310" i="25"/>
  <c r="AU310" i="25"/>
  <c r="AT276" i="25"/>
  <c r="AU276" i="25"/>
  <c r="AT241" i="25"/>
  <c r="AU241" i="25"/>
  <c r="AT249" i="25"/>
  <c r="AU249" i="25"/>
  <c r="AT283" i="25"/>
  <c r="AU283" i="25"/>
  <c r="AT316" i="25"/>
  <c r="AU316" i="25"/>
  <c r="AU243" i="25"/>
  <c r="AT243" i="25"/>
  <c r="AT232" i="25"/>
  <c r="AU232" i="25"/>
  <c r="AT274" i="25"/>
  <c r="AU274" i="25"/>
  <c r="AT256" i="25"/>
  <c r="AU256" i="25"/>
  <c r="AT254" i="25"/>
  <c r="AU254" i="25"/>
  <c r="AT272" i="25"/>
  <c r="AU272" i="25"/>
  <c r="AT222" i="25"/>
  <c r="AU222" i="25"/>
  <c r="AT273" i="25"/>
  <c r="AU273" i="25"/>
  <c r="AT218" i="25"/>
  <c r="AU218" i="25"/>
  <c r="AT240" i="25"/>
  <c r="AU240" i="25"/>
  <c r="AT261" i="25"/>
  <c r="AU261" i="25"/>
  <c r="AT255" i="25"/>
  <c r="AU255" i="25"/>
  <c r="AT237" i="25"/>
  <c r="AU237" i="25"/>
  <c r="AT286" i="25"/>
  <c r="AU286" i="25"/>
  <c r="AT257" i="25"/>
  <c r="AU257" i="25"/>
  <c r="AT228" i="25"/>
  <c r="AU228" i="25"/>
  <c r="AU267" i="25"/>
  <c r="AT267" i="25"/>
  <c r="AT230" i="25"/>
  <c r="AU230" i="25"/>
  <c r="AT231" i="25"/>
  <c r="AU231" i="25"/>
  <c r="AX5" i="25"/>
  <c r="AR5" i="25"/>
  <c r="BH5" i="25"/>
  <c r="BT5" i="25"/>
  <c r="AP5" i="25"/>
  <c r="BF5" i="25"/>
  <c r="BG5" i="25"/>
  <c r="B108" i="2"/>
  <c r="B98" i="2"/>
  <c r="AU65" i="25"/>
  <c r="AU98" i="25"/>
  <c r="AU43" i="25"/>
  <c r="AU55" i="25"/>
  <c r="AU57" i="25"/>
  <c r="AU73" i="25"/>
  <c r="AU85" i="25"/>
  <c r="AU95" i="25"/>
  <c r="AU32" i="25"/>
  <c r="AU66" i="25"/>
  <c r="AU84" i="25"/>
  <c r="AU99" i="25"/>
  <c r="AU18" i="25"/>
  <c r="AU60" i="25"/>
  <c r="AU90" i="25"/>
  <c r="AU33" i="25"/>
  <c r="AT35" i="25"/>
  <c r="AY35" i="25" s="1"/>
  <c r="AU35" i="25"/>
  <c r="AT105" i="25"/>
  <c r="AU105" i="25"/>
  <c r="AT41" i="25"/>
  <c r="AY41" i="25" s="1"/>
  <c r="AU41" i="25"/>
  <c r="AT15" i="25"/>
  <c r="AY15" i="25" s="1"/>
  <c r="AU15" i="25"/>
  <c r="AU25" i="25"/>
  <c r="AT92" i="25"/>
  <c r="AY92" i="25" s="1"/>
  <c r="AU92" i="25"/>
  <c r="AT104" i="25"/>
  <c r="AY104" i="25" s="1"/>
  <c r="AU104" i="25"/>
  <c r="AT52" i="25"/>
  <c r="AY52" i="25" s="1"/>
  <c r="AU52" i="25"/>
  <c r="AT96" i="25"/>
  <c r="AY96" i="25" s="1"/>
  <c r="AU96" i="25"/>
  <c r="AT94" i="25"/>
  <c r="AY94" i="25" s="1"/>
  <c r="AU94" i="25"/>
  <c r="AT31" i="25"/>
  <c r="AY31" i="25" s="1"/>
  <c r="AU31" i="25"/>
  <c r="AT24" i="25"/>
  <c r="AY24" i="25" s="1"/>
  <c r="AU24" i="25"/>
  <c r="AT13" i="25"/>
  <c r="AY13" i="25" s="1"/>
  <c r="AU13" i="25"/>
  <c r="AT68" i="25"/>
  <c r="AY68" i="25" s="1"/>
  <c r="AU68" i="25"/>
  <c r="AT91" i="25"/>
  <c r="AY91" i="25" s="1"/>
  <c r="AU91" i="25"/>
  <c r="AT93" i="25"/>
  <c r="AY93" i="25" s="1"/>
  <c r="AU93" i="25"/>
  <c r="AT30" i="25"/>
  <c r="AY30" i="25" s="1"/>
  <c r="AU30" i="25"/>
  <c r="AU16" i="25"/>
  <c r="AT71" i="25"/>
  <c r="AY71" i="25" s="1"/>
  <c r="AU71" i="25"/>
  <c r="AT61" i="25"/>
  <c r="AY61" i="25" s="1"/>
  <c r="AU61" i="25"/>
  <c r="AT54" i="25"/>
  <c r="AY54" i="25" s="1"/>
  <c r="AU54" i="25"/>
  <c r="AU10" i="25"/>
  <c r="AU23" i="25"/>
  <c r="AT79" i="25"/>
  <c r="AY79" i="25" s="1"/>
  <c r="AU79" i="25"/>
  <c r="AT40" i="25"/>
  <c r="AY40" i="25" s="1"/>
  <c r="AU40" i="25"/>
  <c r="AT27" i="25"/>
  <c r="AY27" i="25" s="1"/>
  <c r="AU27" i="25"/>
  <c r="AU77" i="25"/>
  <c r="AT53" i="25"/>
  <c r="AY53" i="25" s="1"/>
  <c r="AU53" i="25"/>
  <c r="AT51" i="25"/>
  <c r="AY51" i="25" s="1"/>
  <c r="AU51" i="25"/>
  <c r="AT63" i="25"/>
  <c r="AY63" i="25" s="1"/>
  <c r="AU63" i="25"/>
  <c r="AT67" i="25"/>
  <c r="AY67" i="25" s="1"/>
  <c r="AU67" i="25"/>
  <c r="AT47" i="25"/>
  <c r="AY47" i="25" s="1"/>
  <c r="AU47" i="25"/>
  <c r="AT22" i="25"/>
  <c r="AY22" i="25" s="1"/>
  <c r="AU22" i="25"/>
  <c r="AT17" i="25"/>
  <c r="AY17" i="25" s="1"/>
  <c r="AU17" i="25"/>
  <c r="AT78" i="25"/>
  <c r="AY78" i="25" s="1"/>
  <c r="AU78" i="25"/>
  <c r="AT20" i="25"/>
  <c r="AY20" i="25" s="1"/>
  <c r="AU20" i="25"/>
  <c r="AT9" i="25"/>
  <c r="AY9" i="25" s="1"/>
  <c r="AU9" i="25"/>
  <c r="AU39" i="25"/>
  <c r="AT76" i="25"/>
  <c r="AY76" i="25" s="1"/>
  <c r="AU76" i="25"/>
  <c r="AT48" i="25"/>
  <c r="AY48" i="25" s="1"/>
  <c r="AU48" i="25"/>
  <c r="AT59" i="25"/>
  <c r="AY59" i="25" s="1"/>
  <c r="AU59" i="25"/>
  <c r="AU46" i="25"/>
  <c r="AU89" i="25"/>
  <c r="AU19" i="25"/>
  <c r="AT101" i="25"/>
  <c r="AY101" i="25" s="1"/>
  <c r="AU101" i="25"/>
  <c r="AU50" i="25"/>
  <c r="AT69" i="25"/>
  <c r="AY69" i="25" s="1"/>
  <c r="AU69" i="25"/>
  <c r="AT37" i="25"/>
  <c r="AY37" i="25" s="1"/>
  <c r="AU37" i="25"/>
  <c r="AT38" i="25"/>
  <c r="AY38" i="25" s="1"/>
  <c r="AU38" i="25"/>
  <c r="AT49" i="25"/>
  <c r="AY49" i="25" s="1"/>
  <c r="AU49" i="25"/>
  <c r="AT11" i="25"/>
  <c r="AY11" i="25" s="1"/>
  <c r="AU11" i="25"/>
  <c r="AT6" i="25"/>
  <c r="AY6" i="25" s="1"/>
  <c r="AU6" i="25"/>
  <c r="AT36" i="25"/>
  <c r="AY36" i="25" s="1"/>
  <c r="AU36" i="25"/>
  <c r="AU7" i="25"/>
  <c r="AT97" i="25"/>
  <c r="AY97" i="25" s="1"/>
  <c r="AU97" i="25"/>
  <c r="AT28" i="25"/>
  <c r="AY28" i="25" s="1"/>
  <c r="AU28" i="25"/>
  <c r="AT100" i="25"/>
  <c r="AY100" i="25" s="1"/>
  <c r="AU100" i="25"/>
  <c r="AT44" i="25"/>
  <c r="AY44" i="25" s="1"/>
  <c r="AU44" i="25"/>
  <c r="AT26" i="25"/>
  <c r="AY26" i="25" s="1"/>
  <c r="AU26" i="25"/>
  <c r="AT103" i="25"/>
  <c r="AY103" i="25" s="1"/>
  <c r="AU103" i="25"/>
  <c r="AT64" i="25"/>
  <c r="AY64" i="25" s="1"/>
  <c r="AU64" i="25"/>
  <c r="AT62" i="25"/>
  <c r="AY62" i="25" s="1"/>
  <c r="AU62" i="25"/>
  <c r="AT12" i="25"/>
  <c r="AY12" i="25" s="1"/>
  <c r="AU12" i="25"/>
  <c r="AU75" i="25"/>
  <c r="AT42" i="25"/>
  <c r="AY42" i="25" s="1"/>
  <c r="AU42" i="25"/>
  <c r="AT87" i="25"/>
  <c r="AY87" i="25" s="1"/>
  <c r="AU87" i="25"/>
  <c r="AU45" i="25"/>
  <c r="AU80" i="25"/>
  <c r="AT86" i="25"/>
  <c r="AY86" i="25" s="1"/>
  <c r="AU86" i="25"/>
  <c r="AT14" i="25"/>
  <c r="AY14" i="25" s="1"/>
  <c r="AU14" i="25"/>
  <c r="AT56" i="25"/>
  <c r="AY56" i="25" s="1"/>
  <c r="AU56" i="25"/>
  <c r="AT83" i="25"/>
  <c r="AY83" i="25" s="1"/>
  <c r="AU83" i="25"/>
  <c r="AT21" i="25"/>
  <c r="AY21" i="25" s="1"/>
  <c r="AU21" i="25"/>
  <c r="AU74" i="25"/>
  <c r="AT88" i="25"/>
  <c r="AY88" i="25" s="1"/>
  <c r="AU88" i="25"/>
  <c r="AT82" i="25"/>
  <c r="AY82" i="25" s="1"/>
  <c r="AU82" i="25"/>
  <c r="AT29" i="25"/>
  <c r="AY29" i="25" s="1"/>
  <c r="AU29" i="25"/>
  <c r="AU34" i="25"/>
  <c r="AT102" i="25"/>
  <c r="AY102" i="25" s="1"/>
  <c r="AU102" i="25"/>
  <c r="AT81" i="25"/>
  <c r="AY81" i="25" s="1"/>
  <c r="AU81" i="25"/>
  <c r="AT70" i="25"/>
  <c r="AY70" i="25" s="1"/>
  <c r="AU70" i="25"/>
  <c r="AU72" i="25"/>
  <c r="AT8" i="25"/>
  <c r="AY8" i="25" s="1"/>
  <c r="AU8" i="25"/>
  <c r="AW40" i="24"/>
  <c r="AY40" i="24" s="1"/>
  <c r="AZ40" i="24" s="1"/>
  <c r="AU32" i="24"/>
  <c r="BB32" i="24" s="1"/>
  <c r="AU53" i="24"/>
  <c r="BB53" i="24" s="1"/>
  <c r="BD53" i="24"/>
  <c r="BG53" i="24" s="1"/>
  <c r="BL53" i="24" s="1"/>
  <c r="BM53" i="24" s="1"/>
  <c r="BE53" i="24"/>
  <c r="BS53" i="24" s="1"/>
  <c r="BD32" i="24"/>
  <c r="BG32" i="24" s="1"/>
  <c r="BL32" i="24" s="1"/>
  <c r="BM32" i="24" s="1"/>
  <c r="BE32" i="24"/>
  <c r="BS32" i="24" s="1"/>
  <c r="AU18" i="24"/>
  <c r="BB18" i="24" s="1"/>
  <c r="AW18" i="24"/>
  <c r="AY18" i="24" s="1"/>
  <c r="AZ18" i="24" s="1"/>
  <c r="AW29" i="24"/>
  <c r="AY29" i="24" s="1"/>
  <c r="AZ29" i="24" s="1"/>
  <c r="AU29" i="24"/>
  <c r="BB29" i="24" s="1"/>
  <c r="AW82" i="24"/>
  <c r="AY82" i="24" s="1"/>
  <c r="AZ82" i="24" s="1"/>
  <c r="AU82" i="24"/>
  <c r="BB82" i="24" s="1"/>
  <c r="AW54" i="24"/>
  <c r="AY54" i="24" s="1"/>
  <c r="AZ54" i="24" s="1"/>
  <c r="AU54" i="24"/>
  <c r="BB54" i="24" s="1"/>
  <c r="AW19" i="24"/>
  <c r="AY19" i="24" s="1"/>
  <c r="AZ19" i="24" s="1"/>
  <c r="AU19" i="24"/>
  <c r="BB19" i="24" s="1"/>
  <c r="AW89" i="24"/>
  <c r="AY89" i="24" s="1"/>
  <c r="AZ89" i="24" s="1"/>
  <c r="AU89" i="24"/>
  <c r="BB89" i="24" s="1"/>
  <c r="AW59" i="24"/>
  <c r="AY59" i="24" s="1"/>
  <c r="AZ59" i="24" s="1"/>
  <c r="AU59" i="24"/>
  <c r="BB59" i="24" s="1"/>
  <c r="AW42" i="24"/>
  <c r="AY42" i="24" s="1"/>
  <c r="AZ42" i="24" s="1"/>
  <c r="AU42" i="24"/>
  <c r="BB42" i="24" s="1"/>
  <c r="AW36" i="24"/>
  <c r="AY36" i="24" s="1"/>
  <c r="AZ36" i="24" s="1"/>
  <c r="AU36" i="24"/>
  <c r="BB36" i="24" s="1"/>
  <c r="AW63" i="24"/>
  <c r="AY63" i="24" s="1"/>
  <c r="AZ63" i="24" s="1"/>
  <c r="AU63" i="24"/>
  <c r="BB63" i="24" s="1"/>
  <c r="AW56" i="24"/>
  <c r="AY56" i="24" s="1"/>
  <c r="AZ56" i="24" s="1"/>
  <c r="AU56" i="24"/>
  <c r="BB56" i="24" s="1"/>
  <c r="AW74" i="24"/>
  <c r="AY74" i="24" s="1"/>
  <c r="AZ74" i="24" s="1"/>
  <c r="AU74" i="24"/>
  <c r="BB74" i="24" s="1"/>
  <c r="AW72" i="24"/>
  <c r="AY72" i="24" s="1"/>
  <c r="AZ72" i="24" s="1"/>
  <c r="AU72" i="24"/>
  <c r="BB72" i="24" s="1"/>
  <c r="AW92" i="24"/>
  <c r="AY92" i="24" s="1"/>
  <c r="AZ92" i="24" s="1"/>
  <c r="AU92" i="24"/>
  <c r="BB92" i="24" s="1"/>
  <c r="AW79" i="24"/>
  <c r="AY79" i="24" s="1"/>
  <c r="AZ79" i="24" s="1"/>
  <c r="AU79" i="24"/>
  <c r="BB79" i="24" s="1"/>
  <c r="AW28" i="24"/>
  <c r="AY28" i="24" s="1"/>
  <c r="AZ28" i="24" s="1"/>
  <c r="AU28" i="24"/>
  <c r="BB28" i="24" s="1"/>
  <c r="AW96" i="24"/>
  <c r="AY96" i="24" s="1"/>
  <c r="AZ96" i="24" s="1"/>
  <c r="AU96" i="24"/>
  <c r="BB96" i="24" s="1"/>
  <c r="AW83" i="24"/>
  <c r="AY83" i="24" s="1"/>
  <c r="AZ83" i="24" s="1"/>
  <c r="AU83" i="24"/>
  <c r="BB83" i="24" s="1"/>
  <c r="AW68" i="24"/>
  <c r="AY68" i="24" s="1"/>
  <c r="AZ68" i="24" s="1"/>
  <c r="AU68" i="24"/>
  <c r="BB68" i="24" s="1"/>
  <c r="AW31" i="24"/>
  <c r="AY31" i="24" s="1"/>
  <c r="AZ31" i="24" s="1"/>
  <c r="AU31" i="24"/>
  <c r="BB31" i="24" s="1"/>
  <c r="AW46" i="24"/>
  <c r="AY46" i="24" s="1"/>
  <c r="AZ46" i="24" s="1"/>
  <c r="AU46" i="24"/>
  <c r="BB46" i="24" s="1"/>
  <c r="AW21" i="24"/>
  <c r="AY21" i="24" s="1"/>
  <c r="AZ21" i="24" s="1"/>
  <c r="AU21" i="24"/>
  <c r="BB21" i="24" s="1"/>
  <c r="AW85" i="24"/>
  <c r="AY85" i="24" s="1"/>
  <c r="AZ85" i="24" s="1"/>
  <c r="AU85" i="24"/>
  <c r="BB85" i="24" s="1"/>
  <c r="AW100" i="24"/>
  <c r="AY100" i="24" s="1"/>
  <c r="AZ100" i="24" s="1"/>
  <c r="AU100" i="24"/>
  <c r="BB100" i="24" s="1"/>
  <c r="BV106" i="19"/>
  <c r="CB106" i="19" s="1"/>
  <c r="BW106" i="19"/>
  <c r="CC106" i="19" s="1"/>
  <c r="BV43" i="24" l="1"/>
  <c r="BV80" i="24"/>
  <c r="CD80" i="24"/>
  <c r="AZ50" i="24"/>
  <c r="AZ25" i="24"/>
  <c r="AW133" i="24"/>
  <c r="AY133" i="24" s="1"/>
  <c r="AZ133" i="24" s="1"/>
  <c r="AK212" i="24"/>
  <c r="BV37" i="24"/>
  <c r="CD37" i="24"/>
  <c r="AN212" i="24"/>
  <c r="AS212" i="24" s="1"/>
  <c r="AU212" i="24" s="1"/>
  <c r="BV62" i="24"/>
  <c r="CD62" i="24"/>
  <c r="BV57" i="24"/>
  <c r="CD57" i="24"/>
  <c r="BV48" i="24"/>
  <c r="CD48" i="24"/>
  <c r="BV61" i="24"/>
  <c r="CD61" i="24"/>
  <c r="BV84" i="24"/>
  <c r="CD84" i="24"/>
  <c r="BV45" i="24"/>
  <c r="CD45" i="24"/>
  <c r="BV47" i="24"/>
  <c r="CD47" i="24"/>
  <c r="BV20" i="24"/>
  <c r="CD20" i="24"/>
  <c r="AW166" i="24"/>
  <c r="AY166" i="24" s="1"/>
  <c r="AZ166" i="24" s="1"/>
  <c r="BA179" i="25"/>
  <c r="BB179" i="25"/>
  <c r="BR179" i="25" s="1"/>
  <c r="BC179" i="25"/>
  <c r="BS179" i="25" s="1"/>
  <c r="BA147" i="25"/>
  <c r="BC147" i="25"/>
  <c r="BS147" i="25" s="1"/>
  <c r="BB147" i="25"/>
  <c r="BR147" i="25" s="1"/>
  <c r="BC166" i="25"/>
  <c r="BS166" i="25" s="1"/>
  <c r="BB166" i="25"/>
  <c r="BR166" i="25" s="1"/>
  <c r="BA166" i="25"/>
  <c r="BB124" i="25"/>
  <c r="BR124" i="25" s="1"/>
  <c r="BA124" i="25"/>
  <c r="BC124" i="25"/>
  <c r="BS124" i="25" s="1"/>
  <c r="BB140" i="25"/>
  <c r="BR140" i="25" s="1"/>
  <c r="BC140" i="25"/>
  <c r="BS140" i="25" s="1"/>
  <c r="BA140" i="25"/>
  <c r="BA200" i="25"/>
  <c r="BC200" i="25"/>
  <c r="BS200" i="25" s="1"/>
  <c r="BB200" i="25"/>
  <c r="BR200" i="25" s="1"/>
  <c r="BB129" i="25"/>
  <c r="BR129" i="25" s="1"/>
  <c r="BA129" i="25"/>
  <c r="BC129" i="25"/>
  <c r="BS129" i="25" s="1"/>
  <c r="BB182" i="25"/>
  <c r="BR182" i="25" s="1"/>
  <c r="BC182" i="25"/>
  <c r="BS182" i="25" s="1"/>
  <c r="BA182" i="25"/>
  <c r="BB176" i="25"/>
  <c r="BR176" i="25" s="1"/>
  <c r="BC176" i="25"/>
  <c r="BS176" i="25" s="1"/>
  <c r="BA176" i="25"/>
  <c r="BC149" i="25"/>
  <c r="BS149" i="25" s="1"/>
  <c r="BB149" i="25"/>
  <c r="BR149" i="25" s="1"/>
  <c r="BA149" i="25"/>
  <c r="BB185" i="25"/>
  <c r="BR185" i="25" s="1"/>
  <c r="BC185" i="25"/>
  <c r="BS185" i="25" s="1"/>
  <c r="BA185" i="25"/>
  <c r="BC128" i="25"/>
  <c r="BS128" i="25" s="1"/>
  <c r="BB128" i="25"/>
  <c r="BR128" i="25" s="1"/>
  <c r="BA128" i="25"/>
  <c r="BC116" i="25"/>
  <c r="BS116" i="25" s="1"/>
  <c r="BA116" i="25"/>
  <c r="BB116" i="25"/>
  <c r="BR116" i="25" s="1"/>
  <c r="BC184" i="25"/>
  <c r="BS184" i="25" s="1"/>
  <c r="BA184" i="25"/>
  <c r="BB184" i="25"/>
  <c r="BR184" i="25" s="1"/>
  <c r="BA172" i="25"/>
  <c r="BB172" i="25"/>
  <c r="BR172" i="25" s="1"/>
  <c r="BC172" i="25"/>
  <c r="BS172" i="25" s="1"/>
  <c r="BC151" i="25"/>
  <c r="BS151" i="25" s="1"/>
  <c r="BB151" i="25"/>
  <c r="BR151" i="25" s="1"/>
  <c r="BA151" i="25"/>
  <c r="BB125" i="25"/>
  <c r="BR125" i="25" s="1"/>
  <c r="BA125" i="25"/>
  <c r="BC125" i="25"/>
  <c r="BS125" i="25" s="1"/>
  <c r="BA208" i="25"/>
  <c r="BB208" i="25"/>
  <c r="BR208" i="25" s="1"/>
  <c r="BC208" i="25"/>
  <c r="BS208" i="25" s="1"/>
  <c r="BB141" i="25"/>
  <c r="BR141" i="25" s="1"/>
  <c r="BC141" i="25"/>
  <c r="BS141" i="25" s="1"/>
  <c r="BA141" i="25"/>
  <c r="BB134" i="25"/>
  <c r="BR134" i="25" s="1"/>
  <c r="BC134" i="25"/>
  <c r="BS134" i="25" s="1"/>
  <c r="BA134" i="25"/>
  <c r="BC162" i="25"/>
  <c r="BS162" i="25" s="1"/>
  <c r="BA162" i="25"/>
  <c r="BB162" i="25"/>
  <c r="BR162" i="25" s="1"/>
  <c r="BA130" i="25"/>
  <c r="BB130" i="25"/>
  <c r="BR130" i="25" s="1"/>
  <c r="BC130" i="25"/>
  <c r="BS130" i="25" s="1"/>
  <c r="BC173" i="25"/>
  <c r="BS173" i="25" s="1"/>
  <c r="BA173" i="25"/>
  <c r="BB173" i="25"/>
  <c r="BR173" i="25" s="1"/>
  <c r="BA143" i="25"/>
  <c r="BB143" i="25"/>
  <c r="BR143" i="25" s="1"/>
  <c r="BC143" i="25"/>
  <c r="BS143" i="25" s="1"/>
  <c r="BB187" i="25"/>
  <c r="BR187" i="25" s="1"/>
  <c r="BC187" i="25"/>
  <c r="BS187" i="25" s="1"/>
  <c r="BA187" i="25"/>
  <c r="BC127" i="25"/>
  <c r="BS127" i="25" s="1"/>
  <c r="BB127" i="25"/>
  <c r="BR127" i="25" s="1"/>
  <c r="BA127" i="25"/>
  <c r="BA135" i="25"/>
  <c r="BB135" i="25"/>
  <c r="BR135" i="25" s="1"/>
  <c r="BC135" i="25"/>
  <c r="BS135" i="25" s="1"/>
  <c r="BB167" i="25"/>
  <c r="BR167" i="25" s="1"/>
  <c r="BA167" i="25"/>
  <c r="BC167" i="25"/>
  <c r="BS167" i="25" s="1"/>
  <c r="BC123" i="25"/>
  <c r="BS123" i="25" s="1"/>
  <c r="BA123" i="25"/>
  <c r="BB123" i="25"/>
  <c r="BR123" i="25" s="1"/>
  <c r="BA207" i="25"/>
  <c r="BC207" i="25"/>
  <c r="BS207" i="25" s="1"/>
  <c r="BB207" i="25"/>
  <c r="BR207" i="25" s="1"/>
  <c r="BA203" i="25"/>
  <c r="BC203" i="25"/>
  <c r="BS203" i="25" s="1"/>
  <c r="BB203" i="25"/>
  <c r="BR203" i="25" s="1"/>
  <c r="BC169" i="25"/>
  <c r="BS169" i="25" s="1"/>
  <c r="BA169" i="25"/>
  <c r="BB169" i="25"/>
  <c r="BR169" i="25" s="1"/>
  <c r="BA142" i="25"/>
  <c r="BC142" i="25"/>
  <c r="BS142" i="25" s="1"/>
  <c r="BB142" i="25"/>
  <c r="BR142" i="25" s="1"/>
  <c r="BA168" i="25"/>
  <c r="BC168" i="25"/>
  <c r="BS168" i="25" s="1"/>
  <c r="BB168" i="25"/>
  <c r="BR168" i="25" s="1"/>
  <c r="BA177" i="25"/>
  <c r="BB177" i="25"/>
  <c r="BR177" i="25" s="1"/>
  <c r="BC177" i="25"/>
  <c r="BS177" i="25" s="1"/>
  <c r="BB158" i="25"/>
  <c r="BR158" i="25" s="1"/>
  <c r="BA158" i="25"/>
  <c r="BC158" i="25"/>
  <c r="BS158" i="25" s="1"/>
  <c r="BB164" i="25"/>
  <c r="BR164" i="25" s="1"/>
  <c r="BA164" i="25"/>
  <c r="BC164" i="25"/>
  <c r="BS164" i="25" s="1"/>
  <c r="BA183" i="25"/>
  <c r="BB183" i="25"/>
  <c r="BR183" i="25" s="1"/>
  <c r="BC183" i="25"/>
  <c r="BS183" i="25" s="1"/>
  <c r="BB145" i="25"/>
  <c r="BR145" i="25" s="1"/>
  <c r="BC145" i="25"/>
  <c r="BS145" i="25" s="1"/>
  <c r="BA145" i="25"/>
  <c r="BB113" i="25"/>
  <c r="BR113" i="25" s="1"/>
  <c r="BA113" i="25"/>
  <c r="BC113" i="25"/>
  <c r="BS113" i="25" s="1"/>
  <c r="BC156" i="25"/>
  <c r="BS156" i="25" s="1"/>
  <c r="BA156" i="25"/>
  <c r="BB156" i="25"/>
  <c r="BR156" i="25" s="1"/>
  <c r="BB197" i="25"/>
  <c r="BR197" i="25" s="1"/>
  <c r="BC197" i="25"/>
  <c r="BS197" i="25" s="1"/>
  <c r="BA197" i="25"/>
  <c r="BA119" i="25"/>
  <c r="BC119" i="25"/>
  <c r="BS119" i="25" s="1"/>
  <c r="BB119" i="25"/>
  <c r="BR119" i="25" s="1"/>
  <c r="BB163" i="25"/>
  <c r="BR163" i="25" s="1"/>
  <c r="BA163" i="25"/>
  <c r="BC163" i="25"/>
  <c r="BS163" i="25" s="1"/>
  <c r="BB150" i="25"/>
  <c r="BR150" i="25" s="1"/>
  <c r="BC150" i="25"/>
  <c r="BS150" i="25" s="1"/>
  <c r="BA150" i="25"/>
  <c r="BC186" i="25"/>
  <c r="BS186" i="25" s="1"/>
  <c r="BB186" i="25"/>
  <c r="BR186" i="25" s="1"/>
  <c r="BA186" i="25"/>
  <c r="BA206" i="25"/>
  <c r="BB206" i="25"/>
  <c r="BR206" i="25" s="1"/>
  <c r="BC206" i="25"/>
  <c r="BS206" i="25" s="1"/>
  <c r="BA202" i="25"/>
  <c r="BB202" i="25"/>
  <c r="BR202" i="25" s="1"/>
  <c r="BC202" i="25"/>
  <c r="BS202" i="25" s="1"/>
  <c r="BC111" i="25"/>
  <c r="BS111" i="25" s="1"/>
  <c r="BB111" i="25"/>
  <c r="BR111" i="25" s="1"/>
  <c r="BA111" i="25"/>
  <c r="BC201" i="25"/>
  <c r="BS201" i="25" s="1"/>
  <c r="BA201" i="25"/>
  <c r="BB201" i="25"/>
  <c r="BR201" i="25" s="1"/>
  <c r="BB180" i="25"/>
  <c r="BR180" i="25" s="1"/>
  <c r="BC180" i="25"/>
  <c r="BS180" i="25" s="1"/>
  <c r="BA180" i="25"/>
  <c r="BA199" i="25"/>
  <c r="BB199" i="25"/>
  <c r="BR199" i="25" s="1"/>
  <c r="BC199" i="25"/>
  <c r="BS199" i="25" s="1"/>
  <c r="BC209" i="25"/>
  <c r="BS209" i="25" s="1"/>
  <c r="BB209" i="25"/>
  <c r="BR209" i="25" s="1"/>
  <c r="BA209" i="25"/>
  <c r="BC171" i="25"/>
  <c r="BS171" i="25" s="1"/>
  <c r="BA171" i="25"/>
  <c r="BB171" i="25"/>
  <c r="BR171" i="25" s="1"/>
  <c r="BA120" i="25"/>
  <c r="BB120" i="25"/>
  <c r="BR120" i="25" s="1"/>
  <c r="BC120" i="25"/>
  <c r="BS120" i="25" s="1"/>
  <c r="BA170" i="25"/>
  <c r="BB170" i="25"/>
  <c r="BR170" i="25" s="1"/>
  <c r="BC170" i="25"/>
  <c r="BS170" i="25" s="1"/>
  <c r="BA204" i="25"/>
  <c r="BB204" i="25"/>
  <c r="BR204" i="25" s="1"/>
  <c r="BC204" i="25"/>
  <c r="BS204" i="25" s="1"/>
  <c r="BA192" i="25"/>
  <c r="BB192" i="25"/>
  <c r="BR192" i="25" s="1"/>
  <c r="BC192" i="25"/>
  <c r="BS192" i="25" s="1"/>
  <c r="BB161" i="25"/>
  <c r="BR161" i="25" s="1"/>
  <c r="BA161" i="25"/>
  <c r="BC161" i="25"/>
  <c r="BS161" i="25" s="1"/>
  <c r="BC114" i="25"/>
  <c r="BS114" i="25" s="1"/>
  <c r="BA114" i="25"/>
  <c r="BB114" i="25"/>
  <c r="BR114" i="25" s="1"/>
  <c r="BC139" i="25"/>
  <c r="BS139" i="25" s="1"/>
  <c r="BB139" i="25"/>
  <c r="BR139" i="25" s="1"/>
  <c r="BA139" i="25"/>
  <c r="BA152" i="25"/>
  <c r="BB152" i="25"/>
  <c r="BR152" i="25" s="1"/>
  <c r="BC152" i="25"/>
  <c r="BS152" i="25" s="1"/>
  <c r="BA159" i="25"/>
  <c r="BB159" i="25"/>
  <c r="BR159" i="25" s="1"/>
  <c r="BC159" i="25"/>
  <c r="BS159" i="25" s="1"/>
  <c r="BA198" i="25"/>
  <c r="BB198" i="25"/>
  <c r="BR198" i="25" s="1"/>
  <c r="BC198" i="25"/>
  <c r="BS198" i="25" s="1"/>
  <c r="BA174" i="25"/>
  <c r="BC174" i="25"/>
  <c r="BS174" i="25" s="1"/>
  <c r="BB174" i="25"/>
  <c r="BR174" i="25" s="1"/>
  <c r="BC196" i="25"/>
  <c r="BS196" i="25" s="1"/>
  <c r="BB196" i="25"/>
  <c r="BR196" i="25" s="1"/>
  <c r="BA196" i="25"/>
  <c r="BB195" i="25"/>
  <c r="BR195" i="25" s="1"/>
  <c r="BC195" i="25"/>
  <c r="BS195" i="25" s="1"/>
  <c r="BA195" i="25"/>
  <c r="BC126" i="25"/>
  <c r="BS126" i="25" s="1"/>
  <c r="BB126" i="25"/>
  <c r="BR126" i="25" s="1"/>
  <c r="BA126" i="25"/>
  <c r="BA188" i="25"/>
  <c r="BB188" i="25"/>
  <c r="BR188" i="25" s="1"/>
  <c r="BC188" i="25"/>
  <c r="BS188" i="25" s="1"/>
  <c r="BA133" i="25"/>
  <c r="BB133" i="25"/>
  <c r="BR133" i="25" s="1"/>
  <c r="BC133" i="25"/>
  <c r="BS133" i="25" s="1"/>
  <c r="BA118" i="25"/>
  <c r="BC118" i="25"/>
  <c r="BS118" i="25" s="1"/>
  <c r="BB118" i="25"/>
  <c r="BR118" i="25" s="1"/>
  <c r="BB153" i="25"/>
  <c r="BR153" i="25" s="1"/>
  <c r="BC153" i="25"/>
  <c r="BS153" i="25" s="1"/>
  <c r="BA153" i="25"/>
  <c r="BA190" i="25"/>
  <c r="BC190" i="25"/>
  <c r="BS190" i="25" s="1"/>
  <c r="BB190" i="25"/>
  <c r="BR190" i="25" s="1"/>
  <c r="BC154" i="25"/>
  <c r="BS154" i="25" s="1"/>
  <c r="BA154" i="25"/>
  <c r="BB154" i="25"/>
  <c r="BR154" i="25" s="1"/>
  <c r="BA146" i="25"/>
  <c r="BC146" i="25"/>
  <c r="BS146" i="25" s="1"/>
  <c r="BB146" i="25"/>
  <c r="BR146" i="25" s="1"/>
  <c r="BC117" i="25"/>
  <c r="BS117" i="25" s="1"/>
  <c r="BB117" i="25"/>
  <c r="BR117" i="25" s="1"/>
  <c r="BA117" i="25"/>
  <c r="BA157" i="25"/>
  <c r="BC157" i="25"/>
  <c r="BS157" i="25" s="1"/>
  <c r="BB157" i="25"/>
  <c r="BR157" i="25" s="1"/>
  <c r="BA193" i="25"/>
  <c r="BB193" i="25"/>
  <c r="BR193" i="25" s="1"/>
  <c r="BC193" i="25"/>
  <c r="BS193" i="25" s="1"/>
  <c r="BA137" i="25"/>
  <c r="BC137" i="25"/>
  <c r="BS137" i="25" s="1"/>
  <c r="BB137" i="25"/>
  <c r="BR137" i="25" s="1"/>
  <c r="BC165" i="25"/>
  <c r="BS165" i="25" s="1"/>
  <c r="BB165" i="25"/>
  <c r="BR165" i="25" s="1"/>
  <c r="BA165" i="25"/>
  <c r="BA155" i="25"/>
  <c r="BC155" i="25"/>
  <c r="BS155" i="25" s="1"/>
  <c r="BB155" i="25"/>
  <c r="BR155" i="25" s="1"/>
  <c r="BA132" i="25"/>
  <c r="BC132" i="25"/>
  <c r="BS132" i="25" s="1"/>
  <c r="BB132" i="25"/>
  <c r="BR132" i="25" s="1"/>
  <c r="BA131" i="25"/>
  <c r="BB131" i="25"/>
  <c r="BR131" i="25" s="1"/>
  <c r="BC131" i="25"/>
  <c r="BS131" i="25" s="1"/>
  <c r="BC138" i="25"/>
  <c r="BS138" i="25" s="1"/>
  <c r="BB138" i="25"/>
  <c r="BR138" i="25" s="1"/>
  <c r="BA138" i="25"/>
  <c r="BC189" i="25"/>
  <c r="BS189" i="25" s="1"/>
  <c r="BA189" i="25"/>
  <c r="BB189" i="25"/>
  <c r="BR189" i="25" s="1"/>
  <c r="BA181" i="25"/>
  <c r="BB181" i="25"/>
  <c r="BR181" i="25" s="1"/>
  <c r="BC181" i="25"/>
  <c r="BS181" i="25" s="1"/>
  <c r="BC144" i="25"/>
  <c r="BS144" i="25" s="1"/>
  <c r="BA144" i="25"/>
  <c r="BB144" i="25"/>
  <c r="BR144" i="25" s="1"/>
  <c r="BA205" i="25"/>
  <c r="BB205" i="25"/>
  <c r="BR205" i="25" s="1"/>
  <c r="BC205" i="25"/>
  <c r="BS205" i="25" s="1"/>
  <c r="BA160" i="25"/>
  <c r="BB160" i="25"/>
  <c r="BR160" i="25" s="1"/>
  <c r="BC160" i="25"/>
  <c r="BS160" i="25" s="1"/>
  <c r="BC112" i="25"/>
  <c r="BS112" i="25" s="1"/>
  <c r="BB112" i="25"/>
  <c r="BR112" i="25" s="1"/>
  <c r="BA112" i="25"/>
  <c r="BA178" i="25"/>
  <c r="BB178" i="25"/>
  <c r="BR178" i="25" s="1"/>
  <c r="BC178" i="25"/>
  <c r="BS178" i="25" s="1"/>
  <c r="BC115" i="25"/>
  <c r="BS115" i="25" s="1"/>
  <c r="BA115" i="25"/>
  <c r="BB115" i="25"/>
  <c r="BR115" i="25" s="1"/>
  <c r="BC122" i="25"/>
  <c r="BS122" i="25" s="1"/>
  <c r="BA122" i="25"/>
  <c r="BB122" i="25"/>
  <c r="BR122" i="25" s="1"/>
  <c r="BC194" i="25"/>
  <c r="BS194" i="25" s="1"/>
  <c r="BA194" i="25"/>
  <c r="BB194" i="25"/>
  <c r="BR194" i="25" s="1"/>
  <c r="BA121" i="25"/>
  <c r="BB121" i="25"/>
  <c r="BR121" i="25" s="1"/>
  <c r="BC121" i="25"/>
  <c r="BS121" i="25" s="1"/>
  <c r="BB136" i="25"/>
  <c r="BR136" i="25" s="1"/>
  <c r="BA136" i="25"/>
  <c r="BC136" i="25"/>
  <c r="BS136" i="25" s="1"/>
  <c r="BC148" i="25"/>
  <c r="BS148" i="25" s="1"/>
  <c r="BB148" i="25"/>
  <c r="BR148" i="25" s="1"/>
  <c r="BA148" i="25"/>
  <c r="BB175" i="25"/>
  <c r="BR175" i="25" s="1"/>
  <c r="BC175" i="25"/>
  <c r="BS175" i="25" s="1"/>
  <c r="BA175" i="25"/>
  <c r="BC191" i="25"/>
  <c r="BS191" i="25" s="1"/>
  <c r="BA191" i="25"/>
  <c r="BB191" i="25"/>
  <c r="BR191" i="25" s="1"/>
  <c r="BA210" i="25"/>
  <c r="BC210" i="25"/>
  <c r="BS210" i="25" s="1"/>
  <c r="BB210" i="25"/>
  <c r="BR210" i="25" s="1"/>
  <c r="AU122" i="24"/>
  <c r="BB122" i="24" s="1"/>
  <c r="AW167" i="24"/>
  <c r="BE167" i="24" s="1"/>
  <c r="BS167" i="24" s="1"/>
  <c r="AW115" i="24"/>
  <c r="BE115" i="24" s="1"/>
  <c r="BS115" i="24" s="1"/>
  <c r="AW165" i="24"/>
  <c r="BE165" i="24" s="1"/>
  <c r="BS165" i="24" s="1"/>
  <c r="BE120" i="24"/>
  <c r="BS120" i="24" s="1"/>
  <c r="BD120" i="24"/>
  <c r="AY120" i="24"/>
  <c r="AZ120" i="24" s="1"/>
  <c r="BE145" i="24"/>
  <c r="BS145" i="24" s="1"/>
  <c r="AY145" i="24"/>
  <c r="AZ145" i="24" s="1"/>
  <c r="BD145" i="24"/>
  <c r="BD154" i="24"/>
  <c r="BE154" i="24"/>
  <c r="BS154" i="24" s="1"/>
  <c r="AY154" i="24"/>
  <c r="AZ154" i="24" s="1"/>
  <c r="BD122" i="24"/>
  <c r="BE122" i="24"/>
  <c r="BS122" i="24" s="1"/>
  <c r="AY122" i="24"/>
  <c r="AZ122" i="24" s="1"/>
  <c r="BD116" i="24"/>
  <c r="AY116" i="24"/>
  <c r="AZ116" i="24" s="1"/>
  <c r="BE116" i="24"/>
  <c r="BS116" i="24" s="1"/>
  <c r="BD139" i="24"/>
  <c r="BE139" i="24"/>
  <c r="BS139" i="24" s="1"/>
  <c r="AY139" i="24"/>
  <c r="AZ139" i="24" s="1"/>
  <c r="BE175" i="24"/>
  <c r="BS175" i="24" s="1"/>
  <c r="AY175" i="24"/>
  <c r="AZ175" i="24" s="1"/>
  <c r="BD175" i="24"/>
  <c r="BE200" i="24"/>
  <c r="BS200" i="24" s="1"/>
  <c r="BD200" i="24"/>
  <c r="AY200" i="24"/>
  <c r="AZ200" i="24" s="1"/>
  <c r="BD183" i="24"/>
  <c r="AY183" i="24"/>
  <c r="AZ183" i="24" s="1"/>
  <c r="BE183" i="24"/>
  <c r="BS183" i="24" s="1"/>
  <c r="BD118" i="24"/>
  <c r="AY118" i="24"/>
  <c r="AZ118" i="24" s="1"/>
  <c r="BE118" i="24"/>
  <c r="BS118" i="24" s="1"/>
  <c r="AY124" i="24"/>
  <c r="AZ124" i="24" s="1"/>
  <c r="BE124" i="24"/>
  <c r="BS124" i="24" s="1"/>
  <c r="BD124" i="24"/>
  <c r="AY158" i="24"/>
  <c r="AZ158" i="24" s="1"/>
  <c r="BD158" i="24"/>
  <c r="BE158" i="24"/>
  <c r="BS158" i="24" s="1"/>
  <c r="BE151" i="24"/>
  <c r="BS151" i="24" s="1"/>
  <c r="AY151" i="24"/>
  <c r="AZ151" i="24" s="1"/>
  <c r="BD151" i="24"/>
  <c r="AY185" i="24"/>
  <c r="AZ185" i="24" s="1"/>
  <c r="BE185" i="24"/>
  <c r="BS185" i="24" s="1"/>
  <c r="BD185" i="24"/>
  <c r="BD131" i="24"/>
  <c r="AY131" i="24"/>
  <c r="AZ131" i="24" s="1"/>
  <c r="BE131" i="24"/>
  <c r="BS131" i="24" s="1"/>
  <c r="BD205" i="24"/>
  <c r="BE205" i="24"/>
  <c r="BS205" i="24" s="1"/>
  <c r="AY205" i="24"/>
  <c r="AZ205" i="24" s="1"/>
  <c r="BD204" i="24"/>
  <c r="BE204" i="24"/>
  <c r="BS204" i="24" s="1"/>
  <c r="AY204" i="24"/>
  <c r="AZ204" i="24" s="1"/>
  <c r="BE132" i="24"/>
  <c r="BS132" i="24" s="1"/>
  <c r="BD132" i="24"/>
  <c r="AY132" i="24"/>
  <c r="AZ132" i="24" s="1"/>
  <c r="BE135" i="24"/>
  <c r="BS135" i="24" s="1"/>
  <c r="BD135" i="24"/>
  <c r="AY135" i="24"/>
  <c r="AZ135" i="24" s="1"/>
  <c r="BD207" i="24"/>
  <c r="BE207" i="24"/>
  <c r="BS207" i="24" s="1"/>
  <c r="AY207" i="24"/>
  <c r="AZ207" i="24" s="1"/>
  <c r="BD163" i="24"/>
  <c r="AY163" i="24"/>
  <c r="AZ163" i="24" s="1"/>
  <c r="BE163" i="24"/>
  <c r="BS163" i="24" s="1"/>
  <c r="BD184" i="24"/>
  <c r="AY184" i="24"/>
  <c r="AZ184" i="24" s="1"/>
  <c r="BE184" i="24"/>
  <c r="BS184" i="24" s="1"/>
  <c r="BD162" i="24"/>
  <c r="BE162" i="24"/>
  <c r="BS162" i="24" s="1"/>
  <c r="AY162" i="24"/>
  <c r="AZ162" i="24" s="1"/>
  <c r="BD117" i="24"/>
  <c r="AY117" i="24"/>
  <c r="AZ117" i="24" s="1"/>
  <c r="BE117" i="24"/>
  <c r="BS117" i="24" s="1"/>
  <c r="BD128" i="24"/>
  <c r="AY128" i="24"/>
  <c r="AZ128" i="24" s="1"/>
  <c r="BE128" i="24"/>
  <c r="BS128" i="24" s="1"/>
  <c r="BE164" i="24"/>
  <c r="BS164" i="24" s="1"/>
  <c r="BD164" i="24"/>
  <c r="AY164" i="24"/>
  <c r="AZ164" i="24" s="1"/>
  <c r="AY179" i="24"/>
  <c r="AZ179" i="24" s="1"/>
  <c r="BD179" i="24"/>
  <c r="BE179" i="24"/>
  <c r="BS179" i="24" s="1"/>
  <c r="BD138" i="24"/>
  <c r="BE138" i="24"/>
  <c r="BS138" i="24" s="1"/>
  <c r="AY138" i="24"/>
  <c r="AZ138" i="24" s="1"/>
  <c r="BD148" i="24"/>
  <c r="AY148" i="24"/>
  <c r="AZ148" i="24" s="1"/>
  <c r="BE148" i="24"/>
  <c r="BS148" i="24" s="1"/>
  <c r="BD111" i="24"/>
  <c r="BE111" i="24"/>
  <c r="BS111" i="24" s="1"/>
  <c r="AY111" i="24"/>
  <c r="AZ111" i="24" s="1"/>
  <c r="BE143" i="24"/>
  <c r="BS143" i="24" s="1"/>
  <c r="BD143" i="24"/>
  <c r="AY143" i="24"/>
  <c r="AZ143" i="24" s="1"/>
  <c r="AY160" i="24"/>
  <c r="AZ160" i="24" s="1"/>
  <c r="BE160" i="24"/>
  <c r="BS160" i="24" s="1"/>
  <c r="BD160" i="24"/>
  <c r="BE153" i="24"/>
  <c r="BS153" i="24" s="1"/>
  <c r="BD153" i="24"/>
  <c r="AY153" i="24"/>
  <c r="AZ153" i="24" s="1"/>
  <c r="AY177" i="24"/>
  <c r="AZ177" i="24" s="1"/>
  <c r="BE177" i="24"/>
  <c r="BS177" i="24" s="1"/>
  <c r="BD177" i="24"/>
  <c r="AY142" i="24"/>
  <c r="AZ142" i="24" s="1"/>
  <c r="BD142" i="24"/>
  <c r="BE142" i="24"/>
  <c r="BS142" i="24" s="1"/>
  <c r="BD178" i="24"/>
  <c r="AY178" i="24"/>
  <c r="AZ178" i="24" s="1"/>
  <c r="BE178" i="24"/>
  <c r="BS178" i="24" s="1"/>
  <c r="BE171" i="24"/>
  <c r="BS171" i="24" s="1"/>
  <c r="BD171" i="24"/>
  <c r="AY171" i="24"/>
  <c r="AZ171" i="24" s="1"/>
  <c r="BE121" i="24"/>
  <c r="BS121" i="24" s="1"/>
  <c r="AY121" i="24"/>
  <c r="AZ121" i="24" s="1"/>
  <c r="BD121" i="24"/>
  <c r="AY180" i="24"/>
  <c r="AZ180" i="24" s="1"/>
  <c r="BE180" i="24"/>
  <c r="BS180" i="24" s="1"/>
  <c r="BD180" i="24"/>
  <c r="AY187" i="24"/>
  <c r="AZ187" i="24" s="1"/>
  <c r="BE187" i="24"/>
  <c r="BS187" i="24" s="1"/>
  <c r="BD187" i="24"/>
  <c r="AY197" i="24"/>
  <c r="AZ197" i="24" s="1"/>
  <c r="BD197" i="24"/>
  <c r="BE197" i="24"/>
  <c r="BS197" i="24" s="1"/>
  <c r="AY190" i="24"/>
  <c r="AZ190" i="24" s="1"/>
  <c r="BD190" i="24"/>
  <c r="BE190" i="24"/>
  <c r="BS190" i="24" s="1"/>
  <c r="AY137" i="24"/>
  <c r="AZ137" i="24" s="1"/>
  <c r="BE137" i="24"/>
  <c r="BS137" i="24" s="1"/>
  <c r="BD137" i="24"/>
  <c r="BD173" i="24"/>
  <c r="BE173" i="24"/>
  <c r="BS173" i="24" s="1"/>
  <c r="AY173" i="24"/>
  <c r="AZ173" i="24" s="1"/>
  <c r="BD125" i="24"/>
  <c r="BE125" i="24"/>
  <c r="BS125" i="24" s="1"/>
  <c r="AY125" i="24"/>
  <c r="AZ125" i="24" s="1"/>
  <c r="BE113" i="24"/>
  <c r="BS113" i="24" s="1"/>
  <c r="AY113" i="24"/>
  <c r="AZ113" i="24" s="1"/>
  <c r="BD113" i="24"/>
  <c r="BD129" i="24"/>
  <c r="BE129" i="24"/>
  <c r="BS129" i="24" s="1"/>
  <c r="AY129" i="24"/>
  <c r="AZ129" i="24" s="1"/>
  <c r="BD201" i="24"/>
  <c r="AY201" i="24"/>
  <c r="AZ201" i="24" s="1"/>
  <c r="BE201" i="24"/>
  <c r="BS201" i="24" s="1"/>
  <c r="BE186" i="24"/>
  <c r="BS186" i="24" s="1"/>
  <c r="AY186" i="24"/>
  <c r="AZ186" i="24" s="1"/>
  <c r="BD186" i="24"/>
  <c r="BD147" i="24"/>
  <c r="AY147" i="24"/>
  <c r="AZ147" i="24" s="1"/>
  <c r="BE147" i="24"/>
  <c r="BS147" i="24" s="1"/>
  <c r="BE152" i="24"/>
  <c r="BS152" i="24" s="1"/>
  <c r="BD152" i="24"/>
  <c r="AY152" i="24"/>
  <c r="AZ152" i="24" s="1"/>
  <c r="BD126" i="24"/>
  <c r="BE126" i="24"/>
  <c r="BS126" i="24" s="1"/>
  <c r="AY126" i="24"/>
  <c r="AZ126" i="24" s="1"/>
  <c r="BE127" i="24"/>
  <c r="BS127" i="24" s="1"/>
  <c r="AY127" i="24"/>
  <c r="AZ127" i="24" s="1"/>
  <c r="BD127" i="24"/>
  <c r="BE140" i="24"/>
  <c r="BS140" i="24" s="1"/>
  <c r="BD140" i="24"/>
  <c r="AY140" i="24"/>
  <c r="AZ140" i="24" s="1"/>
  <c r="BD144" i="24"/>
  <c r="AY144" i="24"/>
  <c r="AZ144" i="24" s="1"/>
  <c r="BE144" i="24"/>
  <c r="BS144" i="24" s="1"/>
  <c r="BE202" i="24"/>
  <c r="BS202" i="24" s="1"/>
  <c r="AY202" i="24"/>
  <c r="AZ202" i="24" s="1"/>
  <c r="BD202" i="24"/>
  <c r="BD196" i="24"/>
  <c r="AY196" i="24"/>
  <c r="AZ196" i="24" s="1"/>
  <c r="BE196" i="24"/>
  <c r="BS196" i="24" s="1"/>
  <c r="AY157" i="24"/>
  <c r="AZ157" i="24" s="1"/>
  <c r="BE157" i="24"/>
  <c r="BS157" i="24" s="1"/>
  <c r="BD157" i="24"/>
  <c r="AY174" i="24"/>
  <c r="AZ174" i="24" s="1"/>
  <c r="BD174" i="24"/>
  <c r="BE174" i="24"/>
  <c r="BS174" i="24" s="1"/>
  <c r="BE198" i="24"/>
  <c r="BS198" i="24" s="1"/>
  <c r="AY198" i="24"/>
  <c r="AZ198" i="24" s="1"/>
  <c r="BD198" i="24"/>
  <c r="BD150" i="24"/>
  <c r="AY150" i="24"/>
  <c r="AZ150" i="24" s="1"/>
  <c r="BE150" i="24"/>
  <c r="BS150" i="24" s="1"/>
  <c r="BE170" i="24"/>
  <c r="BS170" i="24" s="1"/>
  <c r="AY170" i="24"/>
  <c r="AZ170" i="24" s="1"/>
  <c r="BD170" i="24"/>
  <c r="BD146" i="24"/>
  <c r="BE146" i="24"/>
  <c r="BS146" i="24" s="1"/>
  <c r="AY146" i="24"/>
  <c r="AZ146" i="24" s="1"/>
  <c r="BV58" i="24"/>
  <c r="CD58" i="24"/>
  <c r="BA58" i="25"/>
  <c r="BQ58" i="25" s="1"/>
  <c r="BB58" i="25"/>
  <c r="AZ69" i="24"/>
  <c r="AZ95" i="24"/>
  <c r="AU152" i="24"/>
  <c r="BB152" i="24" s="1"/>
  <c r="AZ91" i="24"/>
  <c r="AZ78" i="24"/>
  <c r="AX15" i="24"/>
  <c r="BV15" i="24"/>
  <c r="AX88" i="24"/>
  <c r="BV88" i="24"/>
  <c r="BV67" i="24"/>
  <c r="BV103" i="24"/>
  <c r="BV90" i="24"/>
  <c r="BV94" i="24"/>
  <c r="AZ87" i="24"/>
  <c r="AZ105" i="24"/>
  <c r="BV9" i="24"/>
  <c r="AQ99" i="24"/>
  <c r="BV99" i="24"/>
  <c r="AQ102" i="24"/>
  <c r="BV102" i="24"/>
  <c r="AQ13" i="24"/>
  <c r="BV13" i="24"/>
  <c r="BV71" i="24"/>
  <c r="BV93" i="24"/>
  <c r="CD6" i="24"/>
  <c r="BV6" i="24"/>
  <c r="BV77" i="24"/>
  <c r="AU278" i="24"/>
  <c r="BB278" i="24" s="1"/>
  <c r="AU78" i="24"/>
  <c r="BB78" i="24" s="1"/>
  <c r="AU217" i="24"/>
  <c r="BB217" i="24" s="1"/>
  <c r="AW305" i="24"/>
  <c r="AW182" i="24"/>
  <c r="AU70" i="24"/>
  <c r="BB70" i="24" s="1"/>
  <c r="AW193" i="24"/>
  <c r="AZ70" i="24"/>
  <c r="AX49" i="24"/>
  <c r="CD49" i="24"/>
  <c r="AW203" i="24"/>
  <c r="AW260" i="24"/>
  <c r="AU132" i="24"/>
  <c r="BB132" i="24" s="1"/>
  <c r="AZ60" i="24"/>
  <c r="AW238" i="24"/>
  <c r="AW289" i="24"/>
  <c r="AU128" i="24"/>
  <c r="BB128" i="24" s="1"/>
  <c r="AW191" i="24"/>
  <c r="AW73" i="24"/>
  <c r="AY73" i="24" s="1"/>
  <c r="AZ73" i="24" s="1"/>
  <c r="AW33" i="24"/>
  <c r="AY33" i="24" s="1"/>
  <c r="AZ33" i="24" s="1"/>
  <c r="AW176" i="24"/>
  <c r="AW159" i="24"/>
  <c r="AU255" i="24"/>
  <c r="BB255" i="24" s="1"/>
  <c r="AW114" i="24"/>
  <c r="AW242" i="24"/>
  <c r="AU226" i="24"/>
  <c r="BB226" i="24" s="1"/>
  <c r="AW311" i="24"/>
  <c r="AW291" i="24"/>
  <c r="AW312" i="24"/>
  <c r="AU204" i="24"/>
  <c r="BB204" i="24" s="1"/>
  <c r="AW189" i="24"/>
  <c r="AW225" i="24"/>
  <c r="AW209" i="24"/>
  <c r="AU147" i="24"/>
  <c r="BB147" i="24" s="1"/>
  <c r="AU146" i="24"/>
  <c r="BB146" i="24" s="1"/>
  <c r="AU81" i="24"/>
  <c r="BB81" i="24" s="1"/>
  <c r="AZ55" i="24"/>
  <c r="AW181" i="24"/>
  <c r="AW130" i="24"/>
  <c r="AU55" i="24"/>
  <c r="BB55" i="24" s="1"/>
  <c r="AW295" i="24"/>
  <c r="AU170" i="24"/>
  <c r="BB170" i="24" s="1"/>
  <c r="AQ98" i="24"/>
  <c r="CD98" i="24"/>
  <c r="AU25" i="24"/>
  <c r="BB25" i="24" s="1"/>
  <c r="AW206" i="24"/>
  <c r="AW168" i="24"/>
  <c r="AW265" i="24"/>
  <c r="AU308" i="24"/>
  <c r="BB308" i="24" s="1"/>
  <c r="AW188" i="24"/>
  <c r="AU150" i="24"/>
  <c r="BB150" i="24" s="1"/>
  <c r="AU198" i="24"/>
  <c r="BB198" i="24" s="1"/>
  <c r="AW195" i="24"/>
  <c r="AW156" i="24"/>
  <c r="AW284" i="24"/>
  <c r="AW232" i="24"/>
  <c r="AW306" i="24"/>
  <c r="AU162" i="24"/>
  <c r="BB162" i="24" s="1"/>
  <c r="AW112" i="24"/>
  <c r="AU117" i="24"/>
  <c r="BB117" i="24" s="1"/>
  <c r="AU10" i="24"/>
  <c r="BB10" i="24" s="1"/>
  <c r="AU174" i="24"/>
  <c r="BB174" i="24" s="1"/>
  <c r="AW199" i="24"/>
  <c r="BD104" i="24"/>
  <c r="BG104" i="24" s="1"/>
  <c r="BL104" i="24" s="1"/>
  <c r="BM104" i="24" s="1"/>
  <c r="AZ10" i="24"/>
  <c r="AW136" i="24"/>
  <c r="AW51" i="24"/>
  <c r="AY51" i="24" s="1"/>
  <c r="AZ51" i="24" s="1"/>
  <c r="AU205" i="24"/>
  <c r="BB205" i="24" s="1"/>
  <c r="AU60" i="24"/>
  <c r="BB60" i="24" s="1"/>
  <c r="AW123" i="24"/>
  <c r="AU184" i="24"/>
  <c r="BB184" i="24" s="1"/>
  <c r="AU163" i="24"/>
  <c r="BB163" i="24" s="1"/>
  <c r="AW208" i="24"/>
  <c r="AW119" i="24"/>
  <c r="AZ101" i="24"/>
  <c r="AW110" i="24"/>
  <c r="AU196" i="24"/>
  <c r="BB196" i="24" s="1"/>
  <c r="AU95" i="24"/>
  <c r="BB95" i="24" s="1"/>
  <c r="AW141" i="24"/>
  <c r="AU157" i="24"/>
  <c r="BB157" i="24" s="1"/>
  <c r="AW86" i="24"/>
  <c r="AY86" i="24" s="1"/>
  <c r="AZ86" i="24" s="1"/>
  <c r="AW149" i="24"/>
  <c r="AU186" i="24"/>
  <c r="BB186" i="24" s="1"/>
  <c r="AZ41" i="24"/>
  <c r="AU101" i="24"/>
  <c r="BB101" i="24" s="1"/>
  <c r="AW23" i="24"/>
  <c r="AY23" i="24" s="1"/>
  <c r="AZ23" i="24" s="1"/>
  <c r="AW194" i="24"/>
  <c r="AW192" i="24"/>
  <c r="AU131" i="24"/>
  <c r="BB131" i="24" s="1"/>
  <c r="AU41" i="24"/>
  <c r="BB41" i="24" s="1"/>
  <c r="AU105" i="24"/>
  <c r="B127" i="2" s="1"/>
  <c r="AW97" i="24"/>
  <c r="AY97" i="24" s="1"/>
  <c r="AZ97" i="24" s="1"/>
  <c r="AW210" i="24"/>
  <c r="AW172" i="24"/>
  <c r="AW161" i="24"/>
  <c r="AW43" i="24"/>
  <c r="AY43" i="24" s="1"/>
  <c r="AZ43" i="24" s="1"/>
  <c r="AW64" i="24"/>
  <c r="AY64" i="24" s="1"/>
  <c r="AZ64" i="24" s="1"/>
  <c r="BE104" i="24"/>
  <c r="BS104" i="24" s="1"/>
  <c r="AU14" i="24"/>
  <c r="BB14" i="24" s="1"/>
  <c r="AW27" i="24"/>
  <c r="AY27" i="24" s="1"/>
  <c r="AZ27" i="24" s="1"/>
  <c r="AQ88" i="24"/>
  <c r="AU207" i="24"/>
  <c r="BB207" i="24" s="1"/>
  <c r="AZ14" i="24"/>
  <c r="AW155" i="24"/>
  <c r="BJ49" i="24"/>
  <c r="AS49" i="24"/>
  <c r="AW49" i="24" s="1"/>
  <c r="AY49" i="24" s="1"/>
  <c r="BJ88" i="24"/>
  <c r="BT88" i="24"/>
  <c r="AU50" i="24"/>
  <c r="BB50" i="24" s="1"/>
  <c r="BH88" i="24"/>
  <c r="AS88" i="24"/>
  <c r="AW88" i="24" s="1"/>
  <c r="AY88" i="24" s="1"/>
  <c r="BI88" i="24"/>
  <c r="AW169" i="24"/>
  <c r="AU91" i="24"/>
  <c r="BB91" i="24" s="1"/>
  <c r="AQ49" i="24"/>
  <c r="BT13" i="24"/>
  <c r="AW134" i="24"/>
  <c r="BH49" i="24"/>
  <c r="AW65" i="24"/>
  <c r="AY65" i="24" s="1"/>
  <c r="AZ65" i="24" s="1"/>
  <c r="AU110" i="25"/>
  <c r="AS71" i="24"/>
  <c r="BT71" i="24"/>
  <c r="AU87" i="24"/>
  <c r="BB87" i="24" s="1"/>
  <c r="AW35" i="24"/>
  <c r="AY35" i="24" s="1"/>
  <c r="AZ35" i="24" s="1"/>
  <c r="BI49" i="24"/>
  <c r="BI71" i="24"/>
  <c r="BH71" i="24"/>
  <c r="AW81" i="24"/>
  <c r="AY81" i="24" s="1"/>
  <c r="AZ81" i="24" s="1"/>
  <c r="BT49" i="24"/>
  <c r="AX71" i="24"/>
  <c r="AQ71" i="24"/>
  <c r="AW22" i="24"/>
  <c r="AY22" i="24" s="1"/>
  <c r="AZ22" i="24" s="1"/>
  <c r="AX13" i="24"/>
  <c r="AS13" i="24"/>
  <c r="BH13" i="24"/>
  <c r="BJ13" i="24"/>
  <c r="BD34" i="24"/>
  <c r="BG34" i="24" s="1"/>
  <c r="BL34" i="24" s="1"/>
  <c r="BM34" i="24" s="1"/>
  <c r="AS15" i="24"/>
  <c r="BJ15" i="24"/>
  <c r="BI15" i="24"/>
  <c r="AU34" i="24"/>
  <c r="BB34" i="24" s="1"/>
  <c r="BE34" i="24"/>
  <c r="BS34" i="24" s="1"/>
  <c r="BD69" i="24"/>
  <c r="BR69" i="24" s="1"/>
  <c r="BR5" i="24"/>
  <c r="BE69" i="24"/>
  <c r="BS69" i="24" s="1"/>
  <c r="AU69" i="24"/>
  <c r="BB69" i="24" s="1"/>
  <c r="BH15" i="24"/>
  <c r="BT15" i="24"/>
  <c r="AQ15" i="24"/>
  <c r="AU22" i="24"/>
  <c r="BB22" i="24" s="1"/>
  <c r="BI102" i="24"/>
  <c r="AS102" i="24"/>
  <c r="BH102" i="24"/>
  <c r="AX102" i="24"/>
  <c r="BJ102" i="24"/>
  <c r="BT102" i="24"/>
  <c r="BH48" i="24"/>
  <c r="AX48" i="24"/>
  <c r="BI48" i="24"/>
  <c r="AQ48" i="24"/>
  <c r="BT48" i="24"/>
  <c r="BJ48" i="24"/>
  <c r="AS48" i="24"/>
  <c r="AX93" i="24"/>
  <c r="BI93" i="24"/>
  <c r="AS93" i="24"/>
  <c r="BH93" i="24"/>
  <c r="BJ93" i="24"/>
  <c r="AQ93" i="24"/>
  <c r="BT93" i="24"/>
  <c r="AX8" i="24"/>
  <c r="BJ8" i="24"/>
  <c r="AQ8" i="24"/>
  <c r="BI8" i="24"/>
  <c r="AS8" i="24"/>
  <c r="BH8" i="24"/>
  <c r="BT8" i="24"/>
  <c r="AX37" i="24"/>
  <c r="BI37" i="24"/>
  <c r="AS37" i="24"/>
  <c r="BJ37" i="24"/>
  <c r="AQ37" i="24"/>
  <c r="BT37" i="24"/>
  <c r="BH37" i="24"/>
  <c r="BT94" i="24"/>
  <c r="AX94" i="24"/>
  <c r="AQ94" i="24"/>
  <c r="BH94" i="24"/>
  <c r="BJ94" i="24"/>
  <c r="AS94" i="24"/>
  <c r="BI94" i="24"/>
  <c r="BH16" i="24"/>
  <c r="BT16" i="24"/>
  <c r="BJ16" i="24"/>
  <c r="AQ16" i="24"/>
  <c r="AS16" i="24"/>
  <c r="BI16" i="24"/>
  <c r="AX16" i="24"/>
  <c r="BH75" i="24"/>
  <c r="BJ75" i="24"/>
  <c r="AQ75" i="24"/>
  <c r="AS75" i="24"/>
  <c r="AX75" i="24"/>
  <c r="BI75" i="24"/>
  <c r="BT75" i="24"/>
  <c r="BH57" i="24"/>
  <c r="BI57" i="24"/>
  <c r="BT57" i="24"/>
  <c r="AS57" i="24"/>
  <c r="AQ57" i="24"/>
  <c r="BJ57" i="24"/>
  <c r="AX57" i="24"/>
  <c r="BJ47" i="24"/>
  <c r="AQ47" i="24"/>
  <c r="BI47" i="24"/>
  <c r="AX47" i="24"/>
  <c r="BH47" i="24"/>
  <c r="BT47" i="24"/>
  <c r="AS47" i="24"/>
  <c r="AX99" i="24"/>
  <c r="BH99" i="24"/>
  <c r="AS99" i="24"/>
  <c r="BT99" i="24"/>
  <c r="BJ99" i="24"/>
  <c r="BI99" i="24"/>
  <c r="AX103" i="24"/>
  <c r="AS103" i="24"/>
  <c r="BH103" i="24"/>
  <c r="BI103" i="24"/>
  <c r="BJ103" i="24"/>
  <c r="BT103" i="24"/>
  <c r="BT98" i="24"/>
  <c r="BH98" i="24"/>
  <c r="BI98" i="24"/>
  <c r="AX98" i="24"/>
  <c r="AS98" i="24"/>
  <c r="BJ98" i="24"/>
  <c r="BH45" i="24"/>
  <c r="AS45" i="24"/>
  <c r="AX45" i="24"/>
  <c r="BT45" i="24"/>
  <c r="BJ45" i="24"/>
  <c r="BI45" i="24"/>
  <c r="AQ45" i="24"/>
  <c r="BH24" i="24"/>
  <c r="BJ24" i="24"/>
  <c r="AS24" i="24"/>
  <c r="AX24" i="24"/>
  <c r="AQ24" i="24"/>
  <c r="BT24" i="24"/>
  <c r="BI24" i="24"/>
  <c r="AX58" i="24"/>
  <c r="AS58" i="24"/>
  <c r="BH58" i="24"/>
  <c r="AQ58" i="24"/>
  <c r="BI58" i="24"/>
  <c r="BJ58" i="24"/>
  <c r="BT58" i="24"/>
  <c r="AX84" i="24"/>
  <c r="AQ84" i="24"/>
  <c r="BH84" i="24"/>
  <c r="BJ84" i="24"/>
  <c r="BT84" i="24"/>
  <c r="BI84" i="24"/>
  <c r="AS84" i="24"/>
  <c r="BH12" i="24"/>
  <c r="BJ12" i="24"/>
  <c r="AS12" i="24"/>
  <c r="AX12" i="24"/>
  <c r="BT12" i="24"/>
  <c r="AQ12" i="24"/>
  <c r="BI12" i="24"/>
  <c r="AX38" i="24"/>
  <c r="BI38" i="24"/>
  <c r="AS38" i="24"/>
  <c r="BT38" i="24"/>
  <c r="BJ38" i="24"/>
  <c r="AQ38" i="24"/>
  <c r="BH38" i="24"/>
  <c r="AX9" i="24"/>
  <c r="AS9" i="24"/>
  <c r="BI9" i="24"/>
  <c r="AQ9" i="24"/>
  <c r="BJ9" i="24"/>
  <c r="AX67" i="24"/>
  <c r="BH67" i="24"/>
  <c r="BI67" i="24"/>
  <c r="AS67" i="24"/>
  <c r="BT67" i="24"/>
  <c r="BJ67" i="24"/>
  <c r="AQ67" i="24"/>
  <c r="BT80" i="24"/>
  <c r="BH80" i="24"/>
  <c r="BI80" i="24"/>
  <c r="AS80" i="24"/>
  <c r="AQ80" i="24"/>
  <c r="AX80" i="24"/>
  <c r="BJ80" i="24"/>
  <c r="AX26" i="24"/>
  <c r="BT26" i="24"/>
  <c r="BJ26" i="24"/>
  <c r="BI26" i="24"/>
  <c r="AQ26" i="24"/>
  <c r="BH26" i="24"/>
  <c r="AS26" i="24"/>
  <c r="BH44" i="24"/>
  <c r="BJ44" i="24"/>
  <c r="BT44" i="24"/>
  <c r="BI44" i="24"/>
  <c r="AS44" i="24"/>
  <c r="AX44" i="24"/>
  <c r="AQ44" i="24"/>
  <c r="AX77" i="24"/>
  <c r="BJ77" i="24"/>
  <c r="AQ77" i="24"/>
  <c r="BH77" i="24"/>
  <c r="BT77" i="24"/>
  <c r="BI77" i="24"/>
  <c r="AS77" i="24"/>
  <c r="AX39" i="24"/>
  <c r="AS39" i="24"/>
  <c r="BJ39" i="24"/>
  <c r="BH39" i="24"/>
  <c r="BT39" i="24"/>
  <c r="BI39" i="24"/>
  <c r="AQ39" i="24"/>
  <c r="AX52" i="24"/>
  <c r="BH52" i="24"/>
  <c r="BJ52" i="24"/>
  <c r="AQ52" i="24"/>
  <c r="BT52" i="24"/>
  <c r="BI52" i="24"/>
  <c r="AS52" i="24"/>
  <c r="BT90" i="24"/>
  <c r="BJ90" i="24"/>
  <c r="AX90" i="24"/>
  <c r="AS90" i="24"/>
  <c r="BI90" i="24"/>
  <c r="AQ90" i="24"/>
  <c r="BH90" i="24"/>
  <c r="BH30" i="24"/>
  <c r="AS30" i="24"/>
  <c r="BT30" i="24"/>
  <c r="BI30" i="24"/>
  <c r="BJ30" i="24"/>
  <c r="AX30" i="24"/>
  <c r="AQ30" i="24"/>
  <c r="AX62" i="24"/>
  <c r="BH62" i="24"/>
  <c r="AS62" i="24"/>
  <c r="BT62" i="24"/>
  <c r="BJ62" i="24"/>
  <c r="BI62" i="24"/>
  <c r="AQ62" i="24"/>
  <c r="AX11" i="24"/>
  <c r="AS11" i="24"/>
  <c r="BI11" i="24"/>
  <c r="BJ11" i="24"/>
  <c r="BT11" i="24"/>
  <c r="AQ11" i="24"/>
  <c r="BH11" i="24"/>
  <c r="BH76" i="24"/>
  <c r="BI76" i="24"/>
  <c r="AS76" i="24"/>
  <c r="BT76" i="24"/>
  <c r="AQ76" i="24"/>
  <c r="AX76" i="24"/>
  <c r="BJ76" i="24"/>
  <c r="BH9" i="24"/>
  <c r="AX17" i="24"/>
  <c r="BT17" i="24"/>
  <c r="BI17" i="24"/>
  <c r="BJ17" i="24"/>
  <c r="BH17" i="24"/>
  <c r="AQ17" i="24"/>
  <c r="AS17" i="24"/>
  <c r="AS20" i="24"/>
  <c r="BT20" i="24"/>
  <c r="BJ20" i="24"/>
  <c r="BH20" i="24"/>
  <c r="BI20" i="24"/>
  <c r="AQ20" i="24"/>
  <c r="AX20" i="24"/>
  <c r="BH66" i="24"/>
  <c r="BI66" i="24"/>
  <c r="AS66" i="24"/>
  <c r="BT66" i="24"/>
  <c r="AX66" i="24"/>
  <c r="BJ66" i="24"/>
  <c r="AQ66" i="24"/>
  <c r="AX61" i="24"/>
  <c r="BT61" i="24"/>
  <c r="AS61" i="24"/>
  <c r="BH61" i="24"/>
  <c r="BI61" i="24"/>
  <c r="AQ61" i="24"/>
  <c r="BJ61" i="24"/>
  <c r="BI7" i="24"/>
  <c r="AQ7" i="24"/>
  <c r="AX7" i="24"/>
  <c r="BJ7" i="24"/>
  <c r="AS7" i="24"/>
  <c r="BH7" i="24"/>
  <c r="BT7" i="24"/>
  <c r="AX6" i="24"/>
  <c r="BI6" i="24"/>
  <c r="AS6" i="24"/>
  <c r="BT6" i="24"/>
  <c r="BH6" i="24"/>
  <c r="AQ6" i="24"/>
  <c r="BJ6" i="24"/>
  <c r="BE40" i="24"/>
  <c r="BS40" i="24" s="1"/>
  <c r="AY105" i="25"/>
  <c r="BB8" i="25"/>
  <c r="BC8" i="25"/>
  <c r="BS8" i="25" s="1"/>
  <c r="BB82" i="25"/>
  <c r="BC82" i="25"/>
  <c r="BS82" i="25" s="1"/>
  <c r="BB74" i="25"/>
  <c r="BC74" i="25"/>
  <c r="BS74" i="25" s="1"/>
  <c r="BB45" i="25"/>
  <c r="BC45" i="25"/>
  <c r="BS45" i="25" s="1"/>
  <c r="BB62" i="25"/>
  <c r="BC62" i="25"/>
  <c r="BS62" i="25" s="1"/>
  <c r="BB103" i="25"/>
  <c r="BC103" i="25"/>
  <c r="BS103" i="25" s="1"/>
  <c r="BC44" i="25"/>
  <c r="BS44" i="25" s="1"/>
  <c r="BB44" i="25"/>
  <c r="BC28" i="25"/>
  <c r="BS28" i="25" s="1"/>
  <c r="BB28" i="25"/>
  <c r="BB7" i="25"/>
  <c r="BC7" i="25"/>
  <c r="BS7" i="25" s="1"/>
  <c r="BB101" i="25"/>
  <c r="BC101" i="25"/>
  <c r="BS101" i="25" s="1"/>
  <c r="BB46" i="25"/>
  <c r="BC46" i="25"/>
  <c r="BS46" i="25" s="1"/>
  <c r="BB9" i="25"/>
  <c r="BC9" i="25"/>
  <c r="BS9" i="25" s="1"/>
  <c r="BC78" i="25"/>
  <c r="BS78" i="25" s="1"/>
  <c r="BB78" i="25"/>
  <c r="BB22" i="25"/>
  <c r="BC22" i="25"/>
  <c r="BS22" i="25" s="1"/>
  <c r="BB67" i="25"/>
  <c r="BC67" i="25"/>
  <c r="BS67" i="25" s="1"/>
  <c r="BB51" i="25"/>
  <c r="BC51" i="25"/>
  <c r="BS51" i="25" s="1"/>
  <c r="BB77" i="25"/>
  <c r="BC77" i="25"/>
  <c r="BS77" i="25" s="1"/>
  <c r="BB10" i="25"/>
  <c r="BC10" i="25"/>
  <c r="BS10" i="25" s="1"/>
  <c r="BB30" i="25"/>
  <c r="BC30" i="25"/>
  <c r="BS30" i="25" s="1"/>
  <c r="BB91" i="25"/>
  <c r="BC91" i="25"/>
  <c r="BS91" i="25" s="1"/>
  <c r="BB13" i="25"/>
  <c r="BC13" i="25"/>
  <c r="BS13" i="25" s="1"/>
  <c r="BB31" i="25"/>
  <c r="BC31" i="25"/>
  <c r="BS31" i="25" s="1"/>
  <c r="BB96" i="25"/>
  <c r="BC96" i="25"/>
  <c r="BS96" i="25" s="1"/>
  <c r="BB104" i="25"/>
  <c r="BC104" i="25"/>
  <c r="BS104" i="25" s="1"/>
  <c r="BB25" i="25"/>
  <c r="BC25" i="25"/>
  <c r="BS25" i="25" s="1"/>
  <c r="BC60" i="25"/>
  <c r="BS60" i="25" s="1"/>
  <c r="BB60" i="25"/>
  <c r="BB66" i="25"/>
  <c r="BC66" i="25"/>
  <c r="BS66" i="25" s="1"/>
  <c r="BB73" i="25"/>
  <c r="BC73" i="25"/>
  <c r="BS73" i="25" s="1"/>
  <c r="BB98" i="25"/>
  <c r="BC98" i="25"/>
  <c r="BS98" i="25" s="1"/>
  <c r="BB81" i="25"/>
  <c r="BC81" i="25"/>
  <c r="BS81" i="25" s="1"/>
  <c r="BB34" i="25"/>
  <c r="BC34" i="25"/>
  <c r="BS34" i="25" s="1"/>
  <c r="BB21" i="25"/>
  <c r="BC21" i="25"/>
  <c r="BS21" i="25" s="1"/>
  <c r="BC56" i="25"/>
  <c r="BS56" i="25" s="1"/>
  <c r="BB56" i="25"/>
  <c r="BC86" i="25"/>
  <c r="BS86" i="25" s="1"/>
  <c r="BB86" i="25"/>
  <c r="BB87" i="25"/>
  <c r="BC87" i="25"/>
  <c r="BS87" i="25" s="1"/>
  <c r="BB75" i="25"/>
  <c r="BC75" i="25"/>
  <c r="BS75" i="25" s="1"/>
  <c r="BC36" i="25"/>
  <c r="BS36" i="25" s="1"/>
  <c r="BB36" i="25"/>
  <c r="BB11" i="25"/>
  <c r="BC11" i="25"/>
  <c r="BS11" i="25" s="1"/>
  <c r="BB38" i="25"/>
  <c r="BC38" i="25"/>
  <c r="BS38" i="25" s="1"/>
  <c r="BB69" i="25"/>
  <c r="BC69" i="25"/>
  <c r="BS69" i="25" s="1"/>
  <c r="BB59" i="25"/>
  <c r="BC59" i="25"/>
  <c r="BS59" i="25" s="1"/>
  <c r="BB76" i="25"/>
  <c r="BC76" i="25"/>
  <c r="BS76" i="25" s="1"/>
  <c r="BB27" i="25"/>
  <c r="BC27" i="25"/>
  <c r="BS27" i="25" s="1"/>
  <c r="BB79" i="25"/>
  <c r="BC79" i="25"/>
  <c r="BS79" i="25" s="1"/>
  <c r="BB54" i="25"/>
  <c r="BC54" i="25"/>
  <c r="BS54" i="25" s="1"/>
  <c r="BB71" i="25"/>
  <c r="BC71" i="25"/>
  <c r="BS71" i="25" s="1"/>
  <c r="BB15" i="25"/>
  <c r="BC15" i="25"/>
  <c r="BS15" i="25" s="1"/>
  <c r="BB105" i="25"/>
  <c r="BC105" i="25"/>
  <c r="BS105" i="25" s="1"/>
  <c r="BB18" i="25"/>
  <c r="BC18" i="25"/>
  <c r="BS18" i="25" s="1"/>
  <c r="BC32" i="25"/>
  <c r="BS32" i="25" s="1"/>
  <c r="BB32" i="25"/>
  <c r="BB57" i="25"/>
  <c r="BC57" i="25"/>
  <c r="BS57" i="25" s="1"/>
  <c r="BB65" i="25"/>
  <c r="BC65" i="25"/>
  <c r="BS65" i="25" s="1"/>
  <c r="BC72" i="25"/>
  <c r="BS72" i="25" s="1"/>
  <c r="BB72" i="25"/>
  <c r="BB29" i="25"/>
  <c r="BC29" i="25"/>
  <c r="BS29" i="25" s="1"/>
  <c r="BB88" i="25"/>
  <c r="BC88" i="25"/>
  <c r="BS88" i="25" s="1"/>
  <c r="BB12" i="25"/>
  <c r="BC12" i="25"/>
  <c r="BS12" i="25" s="1"/>
  <c r="BC64" i="25"/>
  <c r="BS64" i="25" s="1"/>
  <c r="BB64" i="25"/>
  <c r="BB26" i="25"/>
  <c r="BC26" i="25"/>
  <c r="BS26" i="25" s="1"/>
  <c r="BB100" i="25"/>
  <c r="BC100" i="25"/>
  <c r="BS100" i="25" s="1"/>
  <c r="BB97" i="25"/>
  <c r="BC97" i="25"/>
  <c r="BS97" i="25" s="1"/>
  <c r="BB19" i="25"/>
  <c r="BC19" i="25"/>
  <c r="BS19" i="25" s="1"/>
  <c r="BB20" i="25"/>
  <c r="BC20" i="25"/>
  <c r="BS20" i="25" s="1"/>
  <c r="BB17" i="25"/>
  <c r="BC17" i="25"/>
  <c r="BS17" i="25" s="1"/>
  <c r="BB47" i="25"/>
  <c r="BC47" i="25"/>
  <c r="BS47" i="25" s="1"/>
  <c r="BB63" i="25"/>
  <c r="BC63" i="25"/>
  <c r="BS63" i="25" s="1"/>
  <c r="BB53" i="25"/>
  <c r="BC53" i="25"/>
  <c r="BS53" i="25" s="1"/>
  <c r="BB93" i="25"/>
  <c r="BC93" i="25"/>
  <c r="BS93" i="25" s="1"/>
  <c r="BC68" i="25"/>
  <c r="BS68" i="25" s="1"/>
  <c r="BB68" i="25"/>
  <c r="BB24" i="25"/>
  <c r="BC24" i="25"/>
  <c r="BS24" i="25" s="1"/>
  <c r="BC94" i="25"/>
  <c r="BS94" i="25" s="1"/>
  <c r="BB94" i="25"/>
  <c r="BC52" i="25"/>
  <c r="BS52" i="25" s="1"/>
  <c r="BB52" i="25"/>
  <c r="BB92" i="25"/>
  <c r="BC92" i="25"/>
  <c r="BS92" i="25" s="1"/>
  <c r="BB33" i="25"/>
  <c r="BC33" i="25"/>
  <c r="BS33" i="25" s="1"/>
  <c r="BB99" i="25"/>
  <c r="BC99" i="25"/>
  <c r="BS99" i="25" s="1"/>
  <c r="BB95" i="25"/>
  <c r="BC95" i="25"/>
  <c r="BS95" i="25" s="1"/>
  <c r="BB55" i="25"/>
  <c r="BC55" i="25"/>
  <c r="BS55" i="25" s="1"/>
  <c r="BB70" i="25"/>
  <c r="BC70" i="25"/>
  <c r="BS70" i="25" s="1"/>
  <c r="BC102" i="25"/>
  <c r="BS102" i="25" s="1"/>
  <c r="BB102" i="25"/>
  <c r="BB83" i="25"/>
  <c r="BC83" i="25"/>
  <c r="BS83" i="25" s="1"/>
  <c r="BB14" i="25"/>
  <c r="BC14" i="25"/>
  <c r="BS14" i="25" s="1"/>
  <c r="BB80" i="25"/>
  <c r="BC80" i="25"/>
  <c r="BS80" i="25" s="1"/>
  <c r="BB42" i="25"/>
  <c r="BC42" i="25"/>
  <c r="BS42" i="25" s="1"/>
  <c r="BB6" i="25"/>
  <c r="BC6" i="25"/>
  <c r="BS6" i="25" s="1"/>
  <c r="BB49" i="25"/>
  <c r="BC49" i="25"/>
  <c r="BS49" i="25" s="1"/>
  <c r="BB37" i="25"/>
  <c r="BC37" i="25"/>
  <c r="BS37" i="25" s="1"/>
  <c r="BB50" i="25"/>
  <c r="BC50" i="25"/>
  <c r="BS50" i="25" s="1"/>
  <c r="BB89" i="25"/>
  <c r="BC89" i="25"/>
  <c r="BS89" i="25" s="1"/>
  <c r="BC48" i="25"/>
  <c r="BS48" i="25" s="1"/>
  <c r="BB48" i="25"/>
  <c r="BB39" i="25"/>
  <c r="BC39" i="25"/>
  <c r="BS39" i="25" s="1"/>
  <c r="BC40" i="25"/>
  <c r="BS40" i="25" s="1"/>
  <c r="BB40" i="25"/>
  <c r="BB23" i="25"/>
  <c r="BC23" i="25"/>
  <c r="BS23" i="25" s="1"/>
  <c r="BB61" i="25"/>
  <c r="BC61" i="25"/>
  <c r="BS61" i="25" s="1"/>
  <c r="BB16" i="25"/>
  <c r="BC16" i="25"/>
  <c r="BS16" i="25" s="1"/>
  <c r="BB41" i="25"/>
  <c r="BC41" i="25"/>
  <c r="BS41" i="25" s="1"/>
  <c r="BB35" i="25"/>
  <c r="BC35" i="25"/>
  <c r="BS35" i="25" s="1"/>
  <c r="BB90" i="25"/>
  <c r="BC90" i="25"/>
  <c r="BS90" i="25" s="1"/>
  <c r="BB84" i="25"/>
  <c r="BC84" i="25"/>
  <c r="BS84" i="25" s="1"/>
  <c r="BB85" i="25"/>
  <c r="BC85" i="25"/>
  <c r="BS85" i="25" s="1"/>
  <c r="BB43" i="25"/>
  <c r="BC43" i="25"/>
  <c r="BS43" i="25" s="1"/>
  <c r="AT5" i="25"/>
  <c r="AY5" i="25" s="1"/>
  <c r="AU5" i="25"/>
  <c r="BD40" i="24"/>
  <c r="BG40" i="24" s="1"/>
  <c r="BL40" i="24" s="1"/>
  <c r="BM40" i="24" s="1"/>
  <c r="BA90" i="25"/>
  <c r="BQ90" i="25" s="1"/>
  <c r="BA33" i="25"/>
  <c r="BQ33" i="25" s="1"/>
  <c r="BA55" i="25"/>
  <c r="BQ55" i="25" s="1"/>
  <c r="BA60" i="25"/>
  <c r="BQ60" i="25" s="1"/>
  <c r="BA98" i="25"/>
  <c r="BQ98" i="25" s="1"/>
  <c r="BA95" i="25"/>
  <c r="BE95" i="25" s="1"/>
  <c r="BJ95" i="25" s="1"/>
  <c r="BR58" i="25"/>
  <c r="BA18" i="25"/>
  <c r="BE18" i="25" s="1"/>
  <c r="BJ18" i="25" s="1"/>
  <c r="BA65" i="25"/>
  <c r="BQ65" i="25" s="1"/>
  <c r="B96" i="2"/>
  <c r="B99" i="2"/>
  <c r="E23" i="1" s="1"/>
  <c r="B109" i="2"/>
  <c r="L23" i="1" s="1"/>
  <c r="B106" i="2"/>
  <c r="BA43" i="25"/>
  <c r="BQ43" i="25" s="1"/>
  <c r="BA32" i="25"/>
  <c r="BQ32" i="25" s="1"/>
  <c r="BA73" i="25"/>
  <c r="BQ73" i="25" s="1"/>
  <c r="BA57" i="25"/>
  <c r="BE57" i="25" s="1"/>
  <c r="BJ57" i="25" s="1"/>
  <c r="BA85" i="25"/>
  <c r="BE85" i="25" s="1"/>
  <c r="BJ85" i="25" s="1"/>
  <c r="BA99" i="25"/>
  <c r="BQ99" i="25" s="1"/>
  <c r="BA84" i="25"/>
  <c r="BE84" i="25" s="1"/>
  <c r="BJ84" i="25" s="1"/>
  <c r="BA66" i="25"/>
  <c r="BE66" i="25" s="1"/>
  <c r="BJ66" i="25" s="1"/>
  <c r="BA70" i="25"/>
  <c r="BA81" i="25"/>
  <c r="BA34" i="25"/>
  <c r="BA21" i="25"/>
  <c r="BA56" i="25"/>
  <c r="BA86" i="25"/>
  <c r="BA87" i="25"/>
  <c r="BA6" i="25"/>
  <c r="BA49" i="25"/>
  <c r="BA37" i="25"/>
  <c r="BA50" i="25"/>
  <c r="BA89" i="25"/>
  <c r="BA48" i="25"/>
  <c r="BA39" i="25"/>
  <c r="BA40" i="25"/>
  <c r="BA54" i="25"/>
  <c r="BA71" i="25"/>
  <c r="BA105" i="25"/>
  <c r="BA8" i="25"/>
  <c r="BA29" i="25"/>
  <c r="BA88" i="25"/>
  <c r="BA62" i="25"/>
  <c r="BA103" i="25"/>
  <c r="BA26" i="25"/>
  <c r="BA100" i="25"/>
  <c r="BA28" i="25"/>
  <c r="BA7" i="25"/>
  <c r="BA101" i="25"/>
  <c r="BA46" i="25"/>
  <c r="BA9" i="25"/>
  <c r="BA78" i="25"/>
  <c r="BA22" i="25"/>
  <c r="BA47" i="25"/>
  <c r="BA63" i="25"/>
  <c r="BA51" i="25"/>
  <c r="BA77" i="25"/>
  <c r="BA93" i="25"/>
  <c r="BA68" i="25"/>
  <c r="BA24" i="25"/>
  <c r="BA31" i="25"/>
  <c r="BA96" i="25"/>
  <c r="BA104" i="25"/>
  <c r="BA25" i="25"/>
  <c r="BA102" i="25"/>
  <c r="BA83" i="25"/>
  <c r="BA14" i="25"/>
  <c r="BA80" i="25"/>
  <c r="BA42" i="25"/>
  <c r="BA75" i="25"/>
  <c r="BA36" i="25"/>
  <c r="BA11" i="25"/>
  <c r="BA38" i="25"/>
  <c r="BA69" i="25"/>
  <c r="BA59" i="25"/>
  <c r="BA76" i="25"/>
  <c r="BA27" i="25"/>
  <c r="BA79" i="25"/>
  <c r="BA23" i="25"/>
  <c r="BA61" i="25"/>
  <c r="BA16" i="25"/>
  <c r="BA15" i="25"/>
  <c r="BA41" i="25"/>
  <c r="BA35" i="25"/>
  <c r="BA72" i="25"/>
  <c r="BA82" i="25"/>
  <c r="BA74" i="25"/>
  <c r="BA45" i="25"/>
  <c r="BA12" i="25"/>
  <c r="BA64" i="25"/>
  <c r="BA44" i="25"/>
  <c r="BA97" i="25"/>
  <c r="BA19" i="25"/>
  <c r="BA20" i="25"/>
  <c r="BA17" i="25"/>
  <c r="BA67" i="25"/>
  <c r="BA53" i="25"/>
  <c r="BA10" i="25"/>
  <c r="BA30" i="25"/>
  <c r="BA91" i="25"/>
  <c r="BA13" i="25"/>
  <c r="BA94" i="25"/>
  <c r="BA52" i="25"/>
  <c r="BA92" i="25"/>
  <c r="BR53" i="24"/>
  <c r="BR32" i="24"/>
  <c r="BD85" i="24"/>
  <c r="BG85" i="24" s="1"/>
  <c r="BL85" i="24" s="1"/>
  <c r="BM85" i="24" s="1"/>
  <c r="BE85" i="24"/>
  <c r="BS85" i="24" s="1"/>
  <c r="BD21" i="24"/>
  <c r="BG21" i="24" s="1"/>
  <c r="BL21" i="24" s="1"/>
  <c r="BM21" i="24" s="1"/>
  <c r="BE21" i="24"/>
  <c r="BS21" i="24" s="1"/>
  <c r="BD95" i="24"/>
  <c r="BG95" i="24" s="1"/>
  <c r="BL95" i="24" s="1"/>
  <c r="BM95" i="24" s="1"/>
  <c r="BE95" i="24"/>
  <c r="BS95" i="24" s="1"/>
  <c r="BD68" i="24"/>
  <c r="BG68" i="24" s="1"/>
  <c r="BL68" i="24" s="1"/>
  <c r="BM68" i="24" s="1"/>
  <c r="BE68" i="24"/>
  <c r="BS68" i="24" s="1"/>
  <c r="BD28" i="24"/>
  <c r="BR28" i="24" s="1"/>
  <c r="BE28" i="24"/>
  <c r="BS28" i="24" s="1"/>
  <c r="BD14" i="24"/>
  <c r="BG14" i="24" s="1"/>
  <c r="BL14" i="24" s="1"/>
  <c r="BM14" i="24" s="1"/>
  <c r="BE14" i="24"/>
  <c r="BS14" i="24" s="1"/>
  <c r="BD92" i="24"/>
  <c r="BG92" i="24" s="1"/>
  <c r="BL92" i="24" s="1"/>
  <c r="BM92" i="24" s="1"/>
  <c r="BE92" i="24"/>
  <c r="BS92" i="24" s="1"/>
  <c r="BD55" i="24"/>
  <c r="BR55" i="24" s="1"/>
  <c r="BE55" i="24"/>
  <c r="BS55" i="24" s="1"/>
  <c r="BD105" i="24"/>
  <c r="BG105" i="24" s="1"/>
  <c r="BL105" i="24" s="1"/>
  <c r="BM105" i="24" s="1"/>
  <c r="BE105" i="24"/>
  <c r="BS105" i="24" s="1"/>
  <c r="BD63" i="24"/>
  <c r="BR63" i="24" s="1"/>
  <c r="BE63" i="24"/>
  <c r="BS63" i="24" s="1"/>
  <c r="BD36" i="24"/>
  <c r="BG36" i="24" s="1"/>
  <c r="BL36" i="24" s="1"/>
  <c r="BM36" i="24" s="1"/>
  <c r="BE36" i="24"/>
  <c r="BS36" i="24" s="1"/>
  <c r="BD42" i="24"/>
  <c r="BR42" i="24" s="1"/>
  <c r="BE42" i="24"/>
  <c r="BS42" i="24" s="1"/>
  <c r="BD59" i="24"/>
  <c r="BG59" i="24" s="1"/>
  <c r="BL59" i="24" s="1"/>
  <c r="BM59" i="24" s="1"/>
  <c r="BE59" i="24"/>
  <c r="BS59" i="24" s="1"/>
  <c r="BD19" i="24"/>
  <c r="BR19" i="24" s="1"/>
  <c r="BE19" i="24"/>
  <c r="BS19" i="24" s="1"/>
  <c r="BD54" i="24"/>
  <c r="BG54" i="24" s="1"/>
  <c r="BL54" i="24" s="1"/>
  <c r="BM54" i="24" s="1"/>
  <c r="BE54" i="24"/>
  <c r="BS54" i="24" s="1"/>
  <c r="BD82" i="24"/>
  <c r="BG82" i="24" s="1"/>
  <c r="BL82" i="24" s="1"/>
  <c r="BM82" i="24" s="1"/>
  <c r="BE82" i="24"/>
  <c r="BS82" i="24" s="1"/>
  <c r="BD60" i="24"/>
  <c r="BR60" i="24" s="1"/>
  <c r="BE60" i="24"/>
  <c r="BS60" i="24" s="1"/>
  <c r="BD29" i="24"/>
  <c r="BG29" i="24" s="1"/>
  <c r="BL29" i="24" s="1"/>
  <c r="BM29" i="24" s="1"/>
  <c r="BE29" i="24"/>
  <c r="BS29" i="24" s="1"/>
  <c r="BD18" i="24"/>
  <c r="BR18" i="24" s="1"/>
  <c r="BE18" i="24"/>
  <c r="BS18" i="24" s="1"/>
  <c r="BD100" i="24"/>
  <c r="BR100" i="24" s="1"/>
  <c r="BE100" i="24"/>
  <c r="BS100" i="24" s="1"/>
  <c r="BD46" i="24"/>
  <c r="BR46" i="24" s="1"/>
  <c r="BE46" i="24"/>
  <c r="BS46" i="24" s="1"/>
  <c r="BD31" i="24"/>
  <c r="BR31" i="24" s="1"/>
  <c r="BE31" i="24"/>
  <c r="BS31" i="24" s="1"/>
  <c r="BD41" i="24"/>
  <c r="BG41" i="24" s="1"/>
  <c r="BL41" i="24" s="1"/>
  <c r="BM41" i="24" s="1"/>
  <c r="BE41" i="24"/>
  <c r="BS41" i="24" s="1"/>
  <c r="BD83" i="24"/>
  <c r="BR83" i="24" s="1"/>
  <c r="BE83" i="24"/>
  <c r="BS83" i="24" s="1"/>
  <c r="BD91" i="24"/>
  <c r="BG91" i="24" s="1"/>
  <c r="BL91" i="24" s="1"/>
  <c r="BM91" i="24" s="1"/>
  <c r="BE91" i="24"/>
  <c r="BS91" i="24" s="1"/>
  <c r="BD78" i="24"/>
  <c r="BG78" i="24" s="1"/>
  <c r="BL78" i="24" s="1"/>
  <c r="BM78" i="24" s="1"/>
  <c r="BE78" i="24"/>
  <c r="BS78" i="24" s="1"/>
  <c r="BD96" i="24"/>
  <c r="BG96" i="24" s="1"/>
  <c r="BL96" i="24" s="1"/>
  <c r="BM96" i="24" s="1"/>
  <c r="BE96" i="24"/>
  <c r="BS96" i="24" s="1"/>
  <c r="BD79" i="24"/>
  <c r="BG79" i="24" s="1"/>
  <c r="BL79" i="24" s="1"/>
  <c r="BM79" i="24" s="1"/>
  <c r="BE79" i="24"/>
  <c r="BS79" i="24" s="1"/>
  <c r="BD87" i="24"/>
  <c r="BG87" i="24" s="1"/>
  <c r="BL87" i="24" s="1"/>
  <c r="BM87" i="24" s="1"/>
  <c r="BE87" i="24"/>
  <c r="BS87" i="24" s="1"/>
  <c r="BD72" i="24"/>
  <c r="BR72" i="24" s="1"/>
  <c r="BE72" i="24"/>
  <c r="BS72" i="24" s="1"/>
  <c r="BD74" i="24"/>
  <c r="BG74" i="24" s="1"/>
  <c r="BL74" i="24" s="1"/>
  <c r="BM74" i="24" s="1"/>
  <c r="BE74" i="24"/>
  <c r="BS74" i="24" s="1"/>
  <c r="BD56" i="24"/>
  <c r="BR56" i="24" s="1"/>
  <c r="BE56" i="24"/>
  <c r="BS56" i="24" s="1"/>
  <c r="BD25" i="24"/>
  <c r="BR25" i="24" s="1"/>
  <c r="BE25" i="24"/>
  <c r="BS25" i="24" s="1"/>
  <c r="BD70" i="24"/>
  <c r="BR70" i="24" s="1"/>
  <c r="BE70" i="24"/>
  <c r="BS70" i="24" s="1"/>
  <c r="BD89" i="24"/>
  <c r="BG89" i="24" s="1"/>
  <c r="BL89" i="24" s="1"/>
  <c r="BM89" i="24" s="1"/>
  <c r="BE89" i="24"/>
  <c r="BS89" i="24" s="1"/>
  <c r="BD10" i="24"/>
  <c r="BR10" i="24" s="1"/>
  <c r="BE10" i="24"/>
  <c r="BS10" i="24" s="1"/>
  <c r="BD101" i="24"/>
  <c r="BR101" i="24" s="1"/>
  <c r="BE101" i="24"/>
  <c r="BS101" i="24" s="1"/>
  <c r="BD50" i="24"/>
  <c r="BR50" i="24" s="1"/>
  <c r="BE50" i="24"/>
  <c r="BS50" i="24" s="1"/>
  <c r="F64" i="19"/>
  <c r="F65" i="19"/>
  <c r="BE133" i="24" l="1"/>
  <c r="BS133" i="24" s="1"/>
  <c r="BD133" i="24"/>
  <c r="BR133" i="24" s="1"/>
  <c r="BD166" i="24"/>
  <c r="BG166" i="24" s="1"/>
  <c r="BK85" i="25"/>
  <c r="BK95" i="25"/>
  <c r="BK84" i="25"/>
  <c r="BK18" i="25"/>
  <c r="BK66" i="25"/>
  <c r="BK57" i="25"/>
  <c r="BU58" i="25"/>
  <c r="BU70" i="24"/>
  <c r="BU10" i="24"/>
  <c r="BU50" i="24"/>
  <c r="BU18" i="24"/>
  <c r="BU25" i="24"/>
  <c r="BU32" i="24"/>
  <c r="BW32" i="24" s="1"/>
  <c r="BU46" i="24"/>
  <c r="BU28" i="24"/>
  <c r="BU56" i="24"/>
  <c r="BU72" i="24"/>
  <c r="BU83" i="24"/>
  <c r="BU31" i="24"/>
  <c r="BU100" i="24"/>
  <c r="BU19" i="24"/>
  <c r="BU42" i="24"/>
  <c r="BU63" i="24"/>
  <c r="BU55" i="24"/>
  <c r="BU53" i="24"/>
  <c r="BW53" i="24" s="1"/>
  <c r="BU69" i="24"/>
  <c r="BU60" i="24"/>
  <c r="BU101" i="24"/>
  <c r="BU5" i="24"/>
  <c r="BW5" i="24" s="1"/>
  <c r="BE166" i="24"/>
  <c r="BS166" i="24" s="1"/>
  <c r="BD167" i="24"/>
  <c r="BR167" i="24" s="1"/>
  <c r="BW167" i="24" s="1"/>
  <c r="BE191" i="25"/>
  <c r="BQ191" i="25"/>
  <c r="BW191" i="25" s="1"/>
  <c r="BE165" i="25"/>
  <c r="BQ165" i="25"/>
  <c r="BW165" i="25" s="1"/>
  <c r="BE152" i="25"/>
  <c r="BQ152" i="25"/>
  <c r="BW152" i="25" s="1"/>
  <c r="BE168" i="25"/>
  <c r="BQ168" i="25"/>
  <c r="BW168" i="25" s="1"/>
  <c r="BE136" i="25"/>
  <c r="BQ136" i="25"/>
  <c r="BW136" i="25" s="1"/>
  <c r="BE137" i="25"/>
  <c r="BQ137" i="25"/>
  <c r="BW137" i="25" s="1"/>
  <c r="BE159" i="25"/>
  <c r="BQ159" i="25"/>
  <c r="BW159" i="25" s="1"/>
  <c r="BE114" i="25"/>
  <c r="BQ114" i="25"/>
  <c r="BW114" i="25" s="1"/>
  <c r="BE111" i="25"/>
  <c r="BQ111" i="25"/>
  <c r="BW111" i="25" s="1"/>
  <c r="BE206" i="25"/>
  <c r="BQ206" i="25"/>
  <c r="BW206" i="25" s="1"/>
  <c r="BE163" i="25"/>
  <c r="BQ163" i="25"/>
  <c r="BW163" i="25" s="1"/>
  <c r="BE119" i="25"/>
  <c r="BQ119" i="25"/>
  <c r="BW119" i="25" s="1"/>
  <c r="BE158" i="25"/>
  <c r="BQ158" i="25"/>
  <c r="BW158" i="25" s="1"/>
  <c r="BQ210" i="25"/>
  <c r="BW210" i="25" s="1"/>
  <c r="BE210" i="25"/>
  <c r="BE175" i="25"/>
  <c r="BQ175" i="25"/>
  <c r="BW175" i="25" s="1"/>
  <c r="BQ122" i="25"/>
  <c r="BW122" i="25" s="1"/>
  <c r="BE122" i="25"/>
  <c r="BQ112" i="25"/>
  <c r="BW112" i="25" s="1"/>
  <c r="BE112" i="25"/>
  <c r="BE205" i="25"/>
  <c r="BQ205" i="25"/>
  <c r="BW205" i="25" s="1"/>
  <c r="BE189" i="25"/>
  <c r="BQ189" i="25"/>
  <c r="BW189" i="25" s="1"/>
  <c r="BQ196" i="25"/>
  <c r="BW196" i="25" s="1"/>
  <c r="BE196" i="25"/>
  <c r="BQ198" i="25"/>
  <c r="BW198" i="25" s="1"/>
  <c r="BE198" i="25"/>
  <c r="BE170" i="25"/>
  <c r="BQ170" i="25"/>
  <c r="BW170" i="25" s="1"/>
  <c r="BE199" i="25"/>
  <c r="BQ199" i="25"/>
  <c r="BW199" i="25" s="1"/>
  <c r="BE202" i="25"/>
  <c r="BQ202" i="25"/>
  <c r="BW202" i="25" s="1"/>
  <c r="BE186" i="25"/>
  <c r="BQ186" i="25"/>
  <c r="BW186" i="25" s="1"/>
  <c r="BE197" i="25"/>
  <c r="BQ197" i="25"/>
  <c r="BW197" i="25" s="1"/>
  <c r="BE156" i="25"/>
  <c r="BQ156" i="25"/>
  <c r="BW156" i="25" s="1"/>
  <c r="BE164" i="25"/>
  <c r="BQ164" i="25"/>
  <c r="BW164" i="25" s="1"/>
  <c r="BE123" i="25"/>
  <c r="BQ123" i="25"/>
  <c r="BW123" i="25" s="1"/>
  <c r="BE127" i="25"/>
  <c r="BQ127" i="25"/>
  <c r="BW127" i="25" s="1"/>
  <c r="BE143" i="25"/>
  <c r="BQ143" i="25"/>
  <c r="BW143" i="25" s="1"/>
  <c r="BQ162" i="25"/>
  <c r="BW162" i="25" s="1"/>
  <c r="BE162" i="25"/>
  <c r="BE125" i="25"/>
  <c r="BQ125" i="25"/>
  <c r="BW125" i="25" s="1"/>
  <c r="BE116" i="25"/>
  <c r="BQ116" i="25"/>
  <c r="BW116" i="25" s="1"/>
  <c r="BE149" i="25"/>
  <c r="BQ149" i="25"/>
  <c r="BW149" i="25" s="1"/>
  <c r="BE144" i="25"/>
  <c r="BQ144" i="25"/>
  <c r="BE181" i="25"/>
  <c r="BQ181" i="25"/>
  <c r="BW181" i="25" s="1"/>
  <c r="BE138" i="25"/>
  <c r="BQ138" i="25"/>
  <c r="BW138" i="25" s="1"/>
  <c r="BE132" i="25"/>
  <c r="BQ132" i="25"/>
  <c r="BW132" i="25" s="1"/>
  <c r="BE193" i="25"/>
  <c r="BQ193" i="25"/>
  <c r="BW193" i="25" s="1"/>
  <c r="BE117" i="25"/>
  <c r="BQ117" i="25"/>
  <c r="BW117" i="25" s="1"/>
  <c r="BE153" i="25"/>
  <c r="BQ153" i="25"/>
  <c r="BW153" i="25" s="1"/>
  <c r="BE133" i="25"/>
  <c r="BQ133" i="25"/>
  <c r="BW133" i="25" s="1"/>
  <c r="BE126" i="25"/>
  <c r="BQ126" i="25"/>
  <c r="BW126" i="25" s="1"/>
  <c r="BE161" i="25"/>
  <c r="BQ161" i="25"/>
  <c r="BW161" i="25" s="1"/>
  <c r="BE192" i="25"/>
  <c r="BQ192" i="25"/>
  <c r="BW192" i="25" s="1"/>
  <c r="BE183" i="25"/>
  <c r="BQ183" i="25"/>
  <c r="BW183" i="25" s="1"/>
  <c r="BE207" i="25"/>
  <c r="BQ207" i="25"/>
  <c r="BW207" i="25" s="1"/>
  <c r="BE173" i="25"/>
  <c r="BQ173" i="25"/>
  <c r="BW173" i="25" s="1"/>
  <c r="BE130" i="25"/>
  <c r="BQ130" i="25"/>
  <c r="BW130" i="25" s="1"/>
  <c r="BQ134" i="25"/>
  <c r="BW134" i="25" s="1"/>
  <c r="BE134" i="25"/>
  <c r="BE208" i="25"/>
  <c r="BQ208" i="25"/>
  <c r="BW208" i="25" s="1"/>
  <c r="BE151" i="25"/>
  <c r="BQ151" i="25"/>
  <c r="BW151" i="25" s="1"/>
  <c r="BQ128" i="25"/>
  <c r="BW128" i="25" s="1"/>
  <c r="BE128" i="25"/>
  <c r="BQ182" i="25"/>
  <c r="BW182" i="25" s="1"/>
  <c r="BE182" i="25"/>
  <c r="BE129" i="25"/>
  <c r="BQ129" i="25"/>
  <c r="BW129" i="25" s="1"/>
  <c r="BE200" i="25"/>
  <c r="BQ200" i="25"/>
  <c r="BW200" i="25" s="1"/>
  <c r="BE179" i="25"/>
  <c r="BQ179" i="25"/>
  <c r="BW179" i="25" s="1"/>
  <c r="BC110" i="25"/>
  <c r="BS110" i="25" s="1"/>
  <c r="BA110" i="25"/>
  <c r="BB110" i="25"/>
  <c r="BR110" i="25" s="1"/>
  <c r="BE148" i="25"/>
  <c r="BQ148" i="25"/>
  <c r="BW148" i="25" s="1"/>
  <c r="BE121" i="25"/>
  <c r="BQ121" i="25"/>
  <c r="BW121" i="25" s="1"/>
  <c r="BE115" i="25"/>
  <c r="BQ115" i="25"/>
  <c r="BW115" i="25" s="1"/>
  <c r="BE178" i="25"/>
  <c r="BQ178" i="25"/>
  <c r="BW178" i="25" s="1"/>
  <c r="BW144" i="25"/>
  <c r="BQ131" i="25"/>
  <c r="BW131" i="25" s="1"/>
  <c r="BE131" i="25"/>
  <c r="BE146" i="25"/>
  <c r="BQ146" i="25"/>
  <c r="BW146" i="25" s="1"/>
  <c r="BE118" i="25"/>
  <c r="BQ118" i="25"/>
  <c r="BW118" i="25" s="1"/>
  <c r="BE139" i="25"/>
  <c r="BQ139" i="25"/>
  <c r="BW139" i="25" s="1"/>
  <c r="BQ120" i="25"/>
  <c r="BW120" i="25" s="1"/>
  <c r="BE120" i="25"/>
  <c r="BE209" i="25"/>
  <c r="BQ209" i="25"/>
  <c r="BW209" i="25" s="1"/>
  <c r="BE150" i="25"/>
  <c r="BQ150" i="25"/>
  <c r="BW150" i="25" s="1"/>
  <c r="BE113" i="25"/>
  <c r="BQ113" i="25"/>
  <c r="BW113" i="25" s="1"/>
  <c r="BE177" i="25"/>
  <c r="BQ177" i="25"/>
  <c r="BW177" i="25" s="1"/>
  <c r="BE169" i="25"/>
  <c r="BQ169" i="25"/>
  <c r="BW169" i="25" s="1"/>
  <c r="BQ203" i="25"/>
  <c r="BW203" i="25" s="1"/>
  <c r="BE203" i="25"/>
  <c r="BE167" i="25"/>
  <c r="BQ167" i="25"/>
  <c r="BW167" i="25" s="1"/>
  <c r="BE135" i="25"/>
  <c r="BQ135" i="25"/>
  <c r="BW135" i="25" s="1"/>
  <c r="BE187" i="25"/>
  <c r="BQ187" i="25"/>
  <c r="BW187" i="25" s="1"/>
  <c r="BE172" i="25"/>
  <c r="BQ172" i="25"/>
  <c r="BW172" i="25" s="1"/>
  <c r="BQ176" i="25"/>
  <c r="BW176" i="25" s="1"/>
  <c r="BE176" i="25"/>
  <c r="BQ140" i="25"/>
  <c r="BW140" i="25" s="1"/>
  <c r="BE140" i="25"/>
  <c r="BQ124" i="25"/>
  <c r="BW124" i="25" s="1"/>
  <c r="BE124" i="25"/>
  <c r="BQ147" i="25"/>
  <c r="BW147" i="25" s="1"/>
  <c r="BE147" i="25"/>
  <c r="BE194" i="25"/>
  <c r="BQ194" i="25"/>
  <c r="BW194" i="25" s="1"/>
  <c r="BE160" i="25"/>
  <c r="BK160" i="25" s="1"/>
  <c r="BQ160" i="25"/>
  <c r="BW160" i="25" s="1"/>
  <c r="BE155" i="25"/>
  <c r="BQ155" i="25"/>
  <c r="BW155" i="25" s="1"/>
  <c r="BQ157" i="25"/>
  <c r="BW157" i="25" s="1"/>
  <c r="BE157" i="25"/>
  <c r="BQ154" i="25"/>
  <c r="BW154" i="25" s="1"/>
  <c r="BE154" i="25"/>
  <c r="BE190" i="25"/>
  <c r="BQ190" i="25"/>
  <c r="BW190" i="25" s="1"/>
  <c r="BE188" i="25"/>
  <c r="BQ188" i="25"/>
  <c r="BW188" i="25" s="1"/>
  <c r="BE195" i="25"/>
  <c r="BQ195" i="25"/>
  <c r="BW195" i="25" s="1"/>
  <c r="BQ174" i="25"/>
  <c r="BW174" i="25" s="1"/>
  <c r="BE174" i="25"/>
  <c r="BQ204" i="25"/>
  <c r="BW204" i="25" s="1"/>
  <c r="BE204" i="25"/>
  <c r="BE171" i="25"/>
  <c r="BQ171" i="25"/>
  <c r="BW171" i="25" s="1"/>
  <c r="BQ180" i="25"/>
  <c r="BW180" i="25" s="1"/>
  <c r="BE180" i="25"/>
  <c r="BE201" i="25"/>
  <c r="BQ201" i="25"/>
  <c r="BW201" i="25" s="1"/>
  <c r="BE145" i="25"/>
  <c r="BQ145" i="25"/>
  <c r="BW145" i="25" s="1"/>
  <c r="BE142" i="25"/>
  <c r="BQ142" i="25"/>
  <c r="BW142" i="25" s="1"/>
  <c r="BQ141" i="25"/>
  <c r="BW141" i="25" s="1"/>
  <c r="BE141" i="25"/>
  <c r="BE184" i="25"/>
  <c r="BQ184" i="25"/>
  <c r="BW184" i="25" s="1"/>
  <c r="BE185" i="25"/>
  <c r="BQ185" i="25"/>
  <c r="BW185" i="25" s="1"/>
  <c r="BE166" i="25"/>
  <c r="BQ166" i="25"/>
  <c r="BW166" i="25" s="1"/>
  <c r="AY115" i="24"/>
  <c r="AZ115" i="24" s="1"/>
  <c r="AY167" i="24"/>
  <c r="AZ167" i="24" s="1"/>
  <c r="BD115" i="24"/>
  <c r="BR115" i="24" s="1"/>
  <c r="BW115" i="24" s="1"/>
  <c r="AY165" i="24"/>
  <c r="AZ165" i="24" s="1"/>
  <c r="BD165" i="24"/>
  <c r="BG165" i="24" s="1"/>
  <c r="BE194" i="24"/>
  <c r="BS194" i="24" s="1"/>
  <c r="AY194" i="24"/>
  <c r="AZ194" i="24" s="1"/>
  <c r="BD194" i="24"/>
  <c r="BD141" i="24"/>
  <c r="BE141" i="24"/>
  <c r="BS141" i="24" s="1"/>
  <c r="AY141" i="24"/>
  <c r="AZ141" i="24" s="1"/>
  <c r="BD199" i="24"/>
  <c r="AY199" i="24"/>
  <c r="AZ199" i="24" s="1"/>
  <c r="BE199" i="24"/>
  <c r="BS199" i="24" s="1"/>
  <c r="BE112" i="24"/>
  <c r="BS112" i="24" s="1"/>
  <c r="AY112" i="24"/>
  <c r="AZ112" i="24" s="1"/>
  <c r="BD112" i="24"/>
  <c r="BD203" i="24"/>
  <c r="AY203" i="24"/>
  <c r="AZ203" i="24" s="1"/>
  <c r="BE203" i="24"/>
  <c r="BS203" i="24" s="1"/>
  <c r="AY193" i="24"/>
  <c r="AZ193" i="24" s="1"/>
  <c r="BE193" i="24"/>
  <c r="BS193" i="24" s="1"/>
  <c r="BD193" i="24"/>
  <c r="BR144" i="24"/>
  <c r="BW144" i="24" s="1"/>
  <c r="BG144" i="24"/>
  <c r="BR127" i="24"/>
  <c r="BW127" i="24" s="1"/>
  <c r="BG127" i="24"/>
  <c r="BR152" i="24"/>
  <c r="BW152" i="24" s="1"/>
  <c r="BG152" i="24"/>
  <c r="BR147" i="24"/>
  <c r="BW147" i="24" s="1"/>
  <c r="BG147" i="24"/>
  <c r="BR187" i="24"/>
  <c r="BW187" i="24" s="1"/>
  <c r="BG187" i="24"/>
  <c r="BR128" i="24"/>
  <c r="BW128" i="24" s="1"/>
  <c r="BG128" i="24"/>
  <c r="BR163" i="24"/>
  <c r="BW163" i="24" s="1"/>
  <c r="BG163" i="24"/>
  <c r="BR131" i="24"/>
  <c r="BW131" i="24" s="1"/>
  <c r="BG131" i="24"/>
  <c r="BR151" i="24"/>
  <c r="BW151" i="24" s="1"/>
  <c r="BG151" i="24"/>
  <c r="BR158" i="24"/>
  <c r="BW158" i="24" s="1"/>
  <c r="BG158" i="24"/>
  <c r="BG200" i="24"/>
  <c r="BR200" i="24"/>
  <c r="BW200" i="24" s="1"/>
  <c r="BR116" i="24"/>
  <c r="BW116" i="24" s="1"/>
  <c r="BG116" i="24"/>
  <c r="BD172" i="24"/>
  <c r="AY172" i="24"/>
  <c r="AZ172" i="24" s="1"/>
  <c r="BE172" i="24"/>
  <c r="BS172" i="24" s="1"/>
  <c r="BE149" i="24"/>
  <c r="BS149" i="24" s="1"/>
  <c r="BD149" i="24"/>
  <c r="AY149" i="24"/>
  <c r="AZ149" i="24" s="1"/>
  <c r="BE119" i="24"/>
  <c r="BS119" i="24" s="1"/>
  <c r="BD119" i="24"/>
  <c r="AY119" i="24"/>
  <c r="AZ119" i="24" s="1"/>
  <c r="AY123" i="24"/>
  <c r="AZ123" i="24" s="1"/>
  <c r="BD123" i="24"/>
  <c r="BE123" i="24"/>
  <c r="BS123" i="24" s="1"/>
  <c r="BE136" i="24"/>
  <c r="BS136" i="24" s="1"/>
  <c r="BD136" i="24"/>
  <c r="AY136" i="24"/>
  <c r="AZ136" i="24" s="1"/>
  <c r="BE156" i="24"/>
  <c r="BS156" i="24" s="1"/>
  <c r="BD156" i="24"/>
  <c r="AY156" i="24"/>
  <c r="AZ156" i="24" s="1"/>
  <c r="BD188" i="24"/>
  <c r="AY188" i="24"/>
  <c r="AZ188" i="24" s="1"/>
  <c r="BE188" i="24"/>
  <c r="BS188" i="24" s="1"/>
  <c r="AY206" i="24"/>
  <c r="AZ206" i="24" s="1"/>
  <c r="BD206" i="24"/>
  <c r="BE206" i="24"/>
  <c r="BS206" i="24" s="1"/>
  <c r="AY181" i="24"/>
  <c r="AZ181" i="24" s="1"/>
  <c r="BD181" i="24"/>
  <c r="BE181" i="24"/>
  <c r="BS181" i="24" s="1"/>
  <c r="BE159" i="24"/>
  <c r="BS159" i="24" s="1"/>
  <c r="AY159" i="24"/>
  <c r="AZ159" i="24" s="1"/>
  <c r="BD159" i="24"/>
  <c r="BE191" i="24"/>
  <c r="BS191" i="24" s="1"/>
  <c r="BD191" i="24"/>
  <c r="AY191" i="24"/>
  <c r="AZ191" i="24" s="1"/>
  <c r="BG170" i="24"/>
  <c r="BR170" i="24"/>
  <c r="BW170" i="24" s="1"/>
  <c r="BG157" i="24"/>
  <c r="BR157" i="24"/>
  <c r="BW157" i="24" s="1"/>
  <c r="BR126" i="24"/>
  <c r="BW126" i="24" s="1"/>
  <c r="BG126" i="24"/>
  <c r="BG186" i="24"/>
  <c r="BM186" i="24" s="1"/>
  <c r="BR186" i="24"/>
  <c r="BR129" i="24"/>
  <c r="BW129" i="24" s="1"/>
  <c r="BG129" i="24"/>
  <c r="BR138" i="24"/>
  <c r="BW138" i="24" s="1"/>
  <c r="BG138" i="24"/>
  <c r="BR164" i="24"/>
  <c r="BW164" i="24" s="1"/>
  <c r="BG164" i="24"/>
  <c r="BR184" i="24"/>
  <c r="BW184" i="24" s="1"/>
  <c r="BG184" i="24"/>
  <c r="BR135" i="24"/>
  <c r="BW135" i="24" s="1"/>
  <c r="BG135" i="24"/>
  <c r="BR205" i="24"/>
  <c r="BW205" i="24" s="1"/>
  <c r="BG205" i="24"/>
  <c r="BG185" i="24"/>
  <c r="BM185" i="24" s="1"/>
  <c r="BR185" i="24"/>
  <c r="BD134" i="24"/>
  <c r="BE134" i="24"/>
  <c r="BS134" i="24" s="1"/>
  <c r="AY134" i="24"/>
  <c r="AZ134" i="24" s="1"/>
  <c r="AY169" i="24"/>
  <c r="AZ169" i="24" s="1"/>
  <c r="BE169" i="24"/>
  <c r="BS169" i="24" s="1"/>
  <c r="BD169" i="24"/>
  <c r="AY210" i="24"/>
  <c r="AZ210" i="24" s="1"/>
  <c r="BD210" i="24"/>
  <c r="BE210" i="24"/>
  <c r="BS210" i="24" s="1"/>
  <c r="AY208" i="24"/>
  <c r="AZ208" i="24" s="1"/>
  <c r="BE208" i="24"/>
  <c r="BS208" i="24" s="1"/>
  <c r="BD208" i="24"/>
  <c r="AY195" i="24"/>
  <c r="AZ195" i="24" s="1"/>
  <c r="BD195" i="24"/>
  <c r="BE195" i="24"/>
  <c r="BS195" i="24" s="1"/>
  <c r="BE209" i="24"/>
  <c r="BS209" i="24" s="1"/>
  <c r="BD209" i="24"/>
  <c r="AY209" i="24"/>
  <c r="AZ209" i="24" s="1"/>
  <c r="BD176" i="24"/>
  <c r="AY176" i="24"/>
  <c r="AZ176" i="24" s="1"/>
  <c r="BE176" i="24"/>
  <c r="BS176" i="24" s="1"/>
  <c r="BD182" i="24"/>
  <c r="AY182" i="24"/>
  <c r="AZ182" i="24" s="1"/>
  <c r="BE182" i="24"/>
  <c r="BS182" i="24" s="1"/>
  <c r="BR150" i="24"/>
  <c r="BW150" i="24" s="1"/>
  <c r="BG150" i="24"/>
  <c r="BG196" i="24"/>
  <c r="BR196" i="24"/>
  <c r="BW196" i="24" s="1"/>
  <c r="BR140" i="24"/>
  <c r="BW140" i="24" s="1"/>
  <c r="BG140" i="24"/>
  <c r="BG201" i="24"/>
  <c r="BR201" i="24"/>
  <c r="BW201" i="24" s="1"/>
  <c r="BR113" i="24"/>
  <c r="BW113" i="24" s="1"/>
  <c r="BG113" i="24"/>
  <c r="BR173" i="24"/>
  <c r="BW173" i="24" s="1"/>
  <c r="BG173" i="24"/>
  <c r="BR197" i="24"/>
  <c r="BW197" i="24" s="1"/>
  <c r="BG197" i="24"/>
  <c r="BR121" i="24"/>
  <c r="BW121" i="24" s="1"/>
  <c r="BG121" i="24"/>
  <c r="BR171" i="24"/>
  <c r="BW171" i="24" s="1"/>
  <c r="BG171" i="24"/>
  <c r="BG178" i="24"/>
  <c r="BR178" i="24"/>
  <c r="BW178" i="24" s="1"/>
  <c r="BR177" i="24"/>
  <c r="BW177" i="24" s="1"/>
  <c r="BG177" i="24"/>
  <c r="BR153" i="24"/>
  <c r="BW153" i="24" s="1"/>
  <c r="BG153" i="24"/>
  <c r="BR148" i="24"/>
  <c r="BW148" i="24" s="1"/>
  <c r="BG148" i="24"/>
  <c r="BR179" i="24"/>
  <c r="BW179" i="24" s="1"/>
  <c r="BG179" i="24"/>
  <c r="BR162" i="24"/>
  <c r="BW162" i="24" s="1"/>
  <c r="BG162" i="24"/>
  <c r="BR132" i="24"/>
  <c r="BW132" i="24" s="1"/>
  <c r="BG132" i="24"/>
  <c r="BR204" i="24"/>
  <c r="BW204" i="24" s="1"/>
  <c r="BG204" i="24"/>
  <c r="BR124" i="24"/>
  <c r="BW124" i="24" s="1"/>
  <c r="BG124" i="24"/>
  <c r="BR183" i="24"/>
  <c r="BW183" i="24" s="1"/>
  <c r="BG183" i="24"/>
  <c r="BR175" i="24"/>
  <c r="BW175" i="24" s="1"/>
  <c r="BG175" i="24"/>
  <c r="BR154" i="24"/>
  <c r="BW154" i="24" s="1"/>
  <c r="BG154" i="24"/>
  <c r="BR145" i="24"/>
  <c r="BW145" i="24" s="1"/>
  <c r="BG145" i="24"/>
  <c r="BR120" i="24"/>
  <c r="BW120" i="24" s="1"/>
  <c r="BG120" i="24"/>
  <c r="AY161" i="24"/>
  <c r="AZ161" i="24" s="1"/>
  <c r="BE161" i="24"/>
  <c r="BS161" i="24" s="1"/>
  <c r="BD161" i="24"/>
  <c r="BD168" i="24"/>
  <c r="AY168" i="24"/>
  <c r="AZ168" i="24" s="1"/>
  <c r="BE168" i="24"/>
  <c r="BS168" i="24" s="1"/>
  <c r="BE130" i="24"/>
  <c r="BS130" i="24" s="1"/>
  <c r="BD130" i="24"/>
  <c r="AY130" i="24"/>
  <c r="AZ130" i="24" s="1"/>
  <c r="BD189" i="24"/>
  <c r="BE189" i="24"/>
  <c r="BS189" i="24" s="1"/>
  <c r="AY189" i="24"/>
  <c r="AZ189" i="24" s="1"/>
  <c r="BR146" i="24"/>
  <c r="BW146" i="24" s="1"/>
  <c r="BG146" i="24"/>
  <c r="BR142" i="24"/>
  <c r="BW142" i="24" s="1"/>
  <c r="BG142" i="24"/>
  <c r="AY155" i="24"/>
  <c r="AZ155" i="24" s="1"/>
  <c r="BD155" i="24"/>
  <c r="BE155" i="24"/>
  <c r="BS155" i="24" s="1"/>
  <c r="BD192" i="24"/>
  <c r="AY192" i="24"/>
  <c r="AZ192" i="24" s="1"/>
  <c r="BE192" i="24"/>
  <c r="BS192" i="24" s="1"/>
  <c r="AY110" i="24"/>
  <c r="AZ110" i="24" s="1"/>
  <c r="BD110" i="24"/>
  <c r="BE110" i="24"/>
  <c r="BS110" i="24" s="1"/>
  <c r="BD114" i="24"/>
  <c r="BE114" i="24"/>
  <c r="BS114" i="24" s="1"/>
  <c r="AY114" i="24"/>
  <c r="AZ114" i="24" s="1"/>
  <c r="BR198" i="24"/>
  <c r="BW198" i="24" s="1"/>
  <c r="BG198" i="24"/>
  <c r="BG174" i="24"/>
  <c r="BR174" i="24"/>
  <c r="BW174" i="24" s="1"/>
  <c r="BR202" i="24"/>
  <c r="BW202" i="24" s="1"/>
  <c r="BG202" i="24"/>
  <c r="BR125" i="24"/>
  <c r="BW125" i="24" s="1"/>
  <c r="BG125" i="24"/>
  <c r="BR137" i="24"/>
  <c r="BW137" i="24" s="1"/>
  <c r="BG137" i="24"/>
  <c r="BR190" i="24"/>
  <c r="BG190" i="24"/>
  <c r="BM190" i="24" s="1"/>
  <c r="BR180" i="24"/>
  <c r="BW180" i="24" s="1"/>
  <c r="BG180" i="24"/>
  <c r="BR160" i="24"/>
  <c r="BW160" i="24" s="1"/>
  <c r="BG160" i="24"/>
  <c r="BR143" i="24"/>
  <c r="BW143" i="24" s="1"/>
  <c r="BG143" i="24"/>
  <c r="BR111" i="24"/>
  <c r="BW111" i="24" s="1"/>
  <c r="BG111" i="24"/>
  <c r="BR117" i="24"/>
  <c r="BW117" i="24" s="1"/>
  <c r="BG117" i="24"/>
  <c r="BR207" i="24"/>
  <c r="BW207" i="24" s="1"/>
  <c r="BG207" i="24"/>
  <c r="BR118" i="24"/>
  <c r="BW118" i="24" s="1"/>
  <c r="BG118" i="24"/>
  <c r="BR139" i="24"/>
  <c r="BW139" i="24" s="1"/>
  <c r="BG139" i="24"/>
  <c r="BR122" i="24"/>
  <c r="BW122" i="24" s="1"/>
  <c r="BG122" i="24"/>
  <c r="BE58" i="25"/>
  <c r="BJ58" i="25" s="1"/>
  <c r="AZ88" i="24"/>
  <c r="AZ49" i="24"/>
  <c r="BD73" i="24"/>
  <c r="BR73" i="24" s="1"/>
  <c r="BE73" i="24"/>
  <c r="BS73" i="24" s="1"/>
  <c r="BE33" i="24"/>
  <c r="BS33" i="24" s="1"/>
  <c r="BD33" i="24"/>
  <c r="BG33" i="24" s="1"/>
  <c r="BL33" i="24" s="1"/>
  <c r="BM33" i="24" s="1"/>
  <c r="BD86" i="24"/>
  <c r="BG86" i="24" s="1"/>
  <c r="BL86" i="24" s="1"/>
  <c r="BM86" i="24" s="1"/>
  <c r="BE43" i="24"/>
  <c r="BS43" i="24" s="1"/>
  <c r="BR104" i="24"/>
  <c r="BE51" i="24"/>
  <c r="BS51" i="24" s="1"/>
  <c r="BD51" i="24"/>
  <c r="BR51" i="24" s="1"/>
  <c r="BE27" i="24"/>
  <c r="BS27" i="24" s="1"/>
  <c r="BD43" i="24"/>
  <c r="BR43" i="24" s="1"/>
  <c r="BD97" i="24"/>
  <c r="BG97" i="24" s="1"/>
  <c r="BL97" i="24" s="1"/>
  <c r="BM97" i="24" s="1"/>
  <c r="BB105" i="24"/>
  <c r="B118" i="2" s="1"/>
  <c r="B119" i="2" s="1"/>
  <c r="E16" i="1" s="1"/>
  <c r="BE86" i="24"/>
  <c r="BS86" i="24" s="1"/>
  <c r="BE23" i="24"/>
  <c r="BS23" i="24" s="1"/>
  <c r="BD23" i="24"/>
  <c r="BG23" i="24" s="1"/>
  <c r="BL23" i="24" s="1"/>
  <c r="BM23" i="24" s="1"/>
  <c r="BD64" i="24"/>
  <c r="BG64" i="24" s="1"/>
  <c r="BL64" i="24" s="1"/>
  <c r="BM64" i="24" s="1"/>
  <c r="BE97" i="24"/>
  <c r="BS97" i="24" s="1"/>
  <c r="BE64" i="24"/>
  <c r="BS64" i="24" s="1"/>
  <c r="BE49" i="24"/>
  <c r="BS49" i="24" s="1"/>
  <c r="BD27" i="24"/>
  <c r="BG27" i="24" s="1"/>
  <c r="BL27" i="24" s="1"/>
  <c r="BM27" i="24" s="1"/>
  <c r="AU49" i="24"/>
  <c r="BB49" i="24" s="1"/>
  <c r="BD49" i="24"/>
  <c r="BG49" i="24" s="1"/>
  <c r="BL49" i="24" s="1"/>
  <c r="BM49" i="24" s="1"/>
  <c r="BG69" i="24"/>
  <c r="BL69" i="24" s="1"/>
  <c r="BM69" i="24" s="1"/>
  <c r="BD81" i="24"/>
  <c r="BR81" i="24" s="1"/>
  <c r="BE88" i="24"/>
  <c r="BS88" i="24" s="1"/>
  <c r="AU88" i="24"/>
  <c r="BB88" i="24" s="1"/>
  <c r="BD65" i="24"/>
  <c r="BG65" i="24" s="1"/>
  <c r="BL65" i="24" s="1"/>
  <c r="BM65" i="24" s="1"/>
  <c r="BE65" i="24"/>
  <c r="BS65" i="24" s="1"/>
  <c r="BD88" i="24"/>
  <c r="BG88" i="24" s="1"/>
  <c r="BL88" i="24" s="1"/>
  <c r="BM88" i="24" s="1"/>
  <c r="BE22" i="24"/>
  <c r="BS22" i="24" s="1"/>
  <c r="BD35" i="24"/>
  <c r="BR35" i="24" s="1"/>
  <c r="BE81" i="24"/>
  <c r="BS81" i="24" s="1"/>
  <c r="BE35" i="24"/>
  <c r="BS35" i="24" s="1"/>
  <c r="BR34" i="24"/>
  <c r="AW71" i="24"/>
  <c r="AU71" i="24"/>
  <c r="BB71" i="24" s="1"/>
  <c r="AU13" i="24"/>
  <c r="BB13" i="24" s="1"/>
  <c r="AW13" i="24"/>
  <c r="BD22" i="24"/>
  <c r="BG22" i="24" s="1"/>
  <c r="BL22" i="24" s="1"/>
  <c r="BM22" i="24" s="1"/>
  <c r="AU15" i="24"/>
  <c r="BB15" i="24" s="1"/>
  <c r="AW15" i="24"/>
  <c r="AW102" i="24"/>
  <c r="AU102" i="24"/>
  <c r="BB102" i="24" s="1"/>
  <c r="AU48" i="24"/>
  <c r="BB48" i="24" s="1"/>
  <c r="AW48" i="24"/>
  <c r="AU93" i="24"/>
  <c r="BB93" i="24" s="1"/>
  <c r="AW93" i="24"/>
  <c r="AU94" i="24"/>
  <c r="BB94" i="24" s="1"/>
  <c r="AW94" i="24"/>
  <c r="AW37" i="24"/>
  <c r="AU37" i="24"/>
  <c r="BB37" i="24" s="1"/>
  <c r="AW8" i="24"/>
  <c r="AU8" i="24"/>
  <c r="BB8" i="24" s="1"/>
  <c r="AU44" i="24"/>
  <c r="BB44" i="24" s="1"/>
  <c r="AW44" i="24"/>
  <c r="AU77" i="24"/>
  <c r="BB77" i="24" s="1"/>
  <c r="AW77" i="24"/>
  <c r="AW80" i="24"/>
  <c r="AU80" i="24"/>
  <c r="BB80" i="24" s="1"/>
  <c r="AU38" i="24"/>
  <c r="BB38" i="24" s="1"/>
  <c r="AW38" i="24"/>
  <c r="AU24" i="24"/>
  <c r="BB24" i="24" s="1"/>
  <c r="AW24" i="24"/>
  <c r="AU45" i="24"/>
  <c r="BB45" i="24" s="1"/>
  <c r="AW45" i="24"/>
  <c r="AU103" i="24"/>
  <c r="BB103" i="24" s="1"/>
  <c r="AW103" i="24"/>
  <c r="AW47" i="24"/>
  <c r="AU47" i="24"/>
  <c r="BB47" i="24" s="1"/>
  <c r="AW66" i="24"/>
  <c r="AU66" i="24"/>
  <c r="BB66" i="24" s="1"/>
  <c r="AW62" i="24"/>
  <c r="AU62" i="24"/>
  <c r="BB62" i="24" s="1"/>
  <c r="AW30" i="24"/>
  <c r="AU30" i="24"/>
  <c r="BB30" i="24" s="1"/>
  <c r="AU99" i="24"/>
  <c r="BB99" i="24" s="1"/>
  <c r="AW99" i="24"/>
  <c r="AU75" i="24"/>
  <c r="BB75" i="24" s="1"/>
  <c r="AW75" i="24"/>
  <c r="AW61" i="24"/>
  <c r="AU61" i="24"/>
  <c r="BB61" i="24" s="1"/>
  <c r="AW20" i="24"/>
  <c r="AU20" i="24"/>
  <c r="BB20" i="24" s="1"/>
  <c r="AU90" i="24"/>
  <c r="BB90" i="24" s="1"/>
  <c r="AW90" i="24"/>
  <c r="AU52" i="24"/>
  <c r="BB52" i="24" s="1"/>
  <c r="AW52" i="24"/>
  <c r="AW39" i="24"/>
  <c r="AU39" i="24"/>
  <c r="BB39" i="24" s="1"/>
  <c r="AW26" i="24"/>
  <c r="AU26" i="24"/>
  <c r="BB26" i="24" s="1"/>
  <c r="AU9" i="24"/>
  <c r="BB9" i="24" s="1"/>
  <c r="AW9" i="24"/>
  <c r="AU84" i="24"/>
  <c r="BB84" i="24" s="1"/>
  <c r="AW84" i="24"/>
  <c r="AW58" i="24"/>
  <c r="AU58" i="24"/>
  <c r="BB58" i="24" s="1"/>
  <c r="AU57" i="24"/>
  <c r="BB57" i="24" s="1"/>
  <c r="AW57" i="24"/>
  <c r="AU17" i="24"/>
  <c r="BB17" i="24" s="1"/>
  <c r="AW17" i="24"/>
  <c r="AU76" i="24"/>
  <c r="BB76" i="24" s="1"/>
  <c r="AW76" i="24"/>
  <c r="AU11" i="24"/>
  <c r="BB11" i="24" s="1"/>
  <c r="AW11" i="24"/>
  <c r="AU67" i="24"/>
  <c r="BB67" i="24" s="1"/>
  <c r="AW67" i="24"/>
  <c r="AU12" i="24"/>
  <c r="BB12" i="24" s="1"/>
  <c r="AW12" i="24"/>
  <c r="AU98" i="24"/>
  <c r="BB98" i="24" s="1"/>
  <c r="AW98" i="24"/>
  <c r="AU16" i="24"/>
  <c r="BB16" i="24" s="1"/>
  <c r="AW16" i="24"/>
  <c r="AU6" i="24"/>
  <c r="BB6" i="24" s="1"/>
  <c r="AW6" i="24"/>
  <c r="AW7" i="24"/>
  <c r="AU7" i="24"/>
  <c r="BB7" i="24" s="1"/>
  <c r="BA5" i="25"/>
  <c r="BC5" i="25"/>
  <c r="BS5" i="25" s="1"/>
  <c r="BB5" i="25"/>
  <c r="BR40" i="24"/>
  <c r="BQ95" i="25"/>
  <c r="BQ85" i="25"/>
  <c r="BQ18" i="25"/>
  <c r="BE90" i="25"/>
  <c r="BJ90" i="25" s="1"/>
  <c r="BE98" i="25"/>
  <c r="BJ98" i="25" s="1"/>
  <c r="BE55" i="25"/>
  <c r="BJ55" i="25" s="1"/>
  <c r="BE33" i="25"/>
  <c r="BJ33" i="25" s="1"/>
  <c r="BE65" i="25"/>
  <c r="BJ65" i="25" s="1"/>
  <c r="BE60" i="25"/>
  <c r="BJ60" i="25" s="1"/>
  <c r="BR52" i="25"/>
  <c r="BR74" i="25"/>
  <c r="BR27" i="25"/>
  <c r="BR42" i="25"/>
  <c r="BR102" i="25"/>
  <c r="BR77" i="25"/>
  <c r="BR26" i="25"/>
  <c r="BR105" i="25"/>
  <c r="BR39" i="25"/>
  <c r="BR60" i="25"/>
  <c r="BU60" i="25" s="1"/>
  <c r="BR98" i="25"/>
  <c r="BU98" i="25" s="1"/>
  <c r="BR92" i="25"/>
  <c r="BR94" i="25"/>
  <c r="BR91" i="25"/>
  <c r="BR67" i="25"/>
  <c r="BR64" i="25"/>
  <c r="BR41" i="25"/>
  <c r="BR79" i="25"/>
  <c r="BR76" i="25"/>
  <c r="BR11" i="25"/>
  <c r="BR104" i="25"/>
  <c r="BR96" i="25"/>
  <c r="BR24" i="25"/>
  <c r="BR51" i="25"/>
  <c r="BR47" i="25"/>
  <c r="BR46" i="25"/>
  <c r="BR8" i="25"/>
  <c r="BR50" i="25"/>
  <c r="BR49" i="25"/>
  <c r="BR56" i="25"/>
  <c r="BR34" i="25"/>
  <c r="BR70" i="25"/>
  <c r="BR18" i="25"/>
  <c r="BR65" i="25"/>
  <c r="BU65" i="25" s="1"/>
  <c r="BR57" i="25"/>
  <c r="BR66" i="25"/>
  <c r="BR43" i="25"/>
  <c r="BU43" i="25" s="1"/>
  <c r="BR84" i="25"/>
  <c r="BR13" i="25"/>
  <c r="BR35" i="25"/>
  <c r="BR36" i="25"/>
  <c r="BR25" i="25"/>
  <c r="BR63" i="25"/>
  <c r="BR28" i="25"/>
  <c r="BR40" i="25"/>
  <c r="BR37" i="25"/>
  <c r="BR33" i="25"/>
  <c r="BU33" i="25" s="1"/>
  <c r="BR10" i="25"/>
  <c r="BR20" i="25"/>
  <c r="BR97" i="25"/>
  <c r="BR45" i="25"/>
  <c r="BR82" i="25"/>
  <c r="BR61" i="25"/>
  <c r="BR69" i="25"/>
  <c r="BR75" i="25"/>
  <c r="BR80" i="25"/>
  <c r="BR83" i="25"/>
  <c r="BR93" i="25"/>
  <c r="BR78" i="25"/>
  <c r="BR100" i="25"/>
  <c r="BR103" i="25"/>
  <c r="BR88" i="25"/>
  <c r="BR71" i="25"/>
  <c r="BR48" i="25"/>
  <c r="BR86" i="25"/>
  <c r="BR81" i="25"/>
  <c r="BR90" i="25"/>
  <c r="BU90" i="25" s="1"/>
  <c r="BR95" i="25"/>
  <c r="BR23" i="25"/>
  <c r="BR14" i="25"/>
  <c r="BR68" i="25"/>
  <c r="BR9" i="25"/>
  <c r="BR62" i="25"/>
  <c r="BR87" i="25"/>
  <c r="BR30" i="25"/>
  <c r="BR53" i="25"/>
  <c r="BR17" i="25"/>
  <c r="BR19" i="25"/>
  <c r="BR44" i="25"/>
  <c r="BR12" i="25"/>
  <c r="BR72" i="25"/>
  <c r="BR15" i="25"/>
  <c r="BR16" i="25"/>
  <c r="BR59" i="25"/>
  <c r="BR38" i="25"/>
  <c r="BR31" i="25"/>
  <c r="BR22" i="25"/>
  <c r="BR101" i="25"/>
  <c r="BR29" i="25"/>
  <c r="BR54" i="25"/>
  <c r="BR89" i="25"/>
  <c r="BR21" i="25"/>
  <c r="BR55" i="25"/>
  <c r="BU55" i="25" s="1"/>
  <c r="BR32" i="25"/>
  <c r="BU32" i="25" s="1"/>
  <c r="BR99" i="25"/>
  <c r="BU99" i="25" s="1"/>
  <c r="BR73" i="25"/>
  <c r="BU73" i="25" s="1"/>
  <c r="BR85" i="25"/>
  <c r="BR7" i="25"/>
  <c r="BR6" i="25"/>
  <c r="BE43" i="25"/>
  <c r="BJ43" i="25" s="1"/>
  <c r="BQ57" i="25"/>
  <c r="BE73" i="25"/>
  <c r="BJ73" i="25" s="1"/>
  <c r="BQ66" i="25"/>
  <c r="BQ84" i="25"/>
  <c r="BE32" i="25"/>
  <c r="BJ32" i="25" s="1"/>
  <c r="BE99" i="25"/>
  <c r="BJ99" i="25" s="1"/>
  <c r="BQ45" i="25"/>
  <c r="BE45" i="25"/>
  <c r="BJ45" i="25" s="1"/>
  <c r="BQ23" i="25"/>
  <c r="BU23" i="25" s="1"/>
  <c r="BE23" i="25"/>
  <c r="BJ23" i="25" s="1"/>
  <c r="BQ36" i="25"/>
  <c r="BE36" i="25"/>
  <c r="BJ36" i="25" s="1"/>
  <c r="BE6" i="25"/>
  <c r="BJ6" i="25" s="1"/>
  <c r="BQ6" i="25"/>
  <c r="BQ21" i="25"/>
  <c r="BE21" i="25"/>
  <c r="BJ21" i="25" s="1"/>
  <c r="BQ92" i="25"/>
  <c r="BE92" i="25"/>
  <c r="BJ92" i="25" s="1"/>
  <c r="BQ94" i="25"/>
  <c r="BE94" i="25"/>
  <c r="BJ94" i="25" s="1"/>
  <c r="BQ91" i="25"/>
  <c r="BE91" i="25"/>
  <c r="BJ91" i="25" s="1"/>
  <c r="BQ67" i="25"/>
  <c r="BE67" i="25"/>
  <c r="BJ67" i="25" s="1"/>
  <c r="BQ19" i="25"/>
  <c r="BE19" i="25"/>
  <c r="BJ19" i="25" s="1"/>
  <c r="BQ64" i="25"/>
  <c r="BE64" i="25"/>
  <c r="BJ64" i="25" s="1"/>
  <c r="BQ15" i="25"/>
  <c r="BE15" i="25"/>
  <c r="BJ15" i="25" s="1"/>
  <c r="BQ59" i="25"/>
  <c r="BE59" i="25"/>
  <c r="BJ59" i="25" s="1"/>
  <c r="BQ38" i="25"/>
  <c r="BU38" i="25" s="1"/>
  <c r="BE38" i="25"/>
  <c r="BJ38" i="25" s="1"/>
  <c r="BQ104" i="25"/>
  <c r="BE104" i="25"/>
  <c r="BJ104" i="25" s="1"/>
  <c r="BQ96" i="25"/>
  <c r="BE96" i="25"/>
  <c r="BJ96" i="25" s="1"/>
  <c r="BQ24" i="25"/>
  <c r="BE24" i="25"/>
  <c r="BJ24" i="25" s="1"/>
  <c r="BQ46" i="25"/>
  <c r="BE46" i="25"/>
  <c r="BJ46" i="25" s="1"/>
  <c r="BQ8" i="25"/>
  <c r="BE8" i="25"/>
  <c r="BJ8" i="25" s="1"/>
  <c r="BQ54" i="25"/>
  <c r="BE54" i="25"/>
  <c r="BJ54" i="25" s="1"/>
  <c r="BQ89" i="25"/>
  <c r="BE89" i="25"/>
  <c r="BJ89" i="25" s="1"/>
  <c r="BQ86" i="25"/>
  <c r="BE86" i="25"/>
  <c r="BJ86" i="25" s="1"/>
  <c r="BQ81" i="25"/>
  <c r="BE81" i="25"/>
  <c r="BJ81" i="25" s="1"/>
  <c r="BQ52" i="25"/>
  <c r="BU52" i="25" s="1"/>
  <c r="BE52" i="25"/>
  <c r="BJ52" i="25" s="1"/>
  <c r="BQ13" i="25"/>
  <c r="BE13" i="25"/>
  <c r="BJ13" i="25" s="1"/>
  <c r="BQ20" i="25"/>
  <c r="BE20" i="25"/>
  <c r="BJ20" i="25" s="1"/>
  <c r="BQ97" i="25"/>
  <c r="BE97" i="25"/>
  <c r="BJ97" i="25" s="1"/>
  <c r="BQ74" i="25"/>
  <c r="BE74" i="25"/>
  <c r="BJ74" i="25" s="1"/>
  <c r="BQ35" i="25"/>
  <c r="BE35" i="25"/>
  <c r="BJ35" i="25" s="1"/>
  <c r="BQ61" i="25"/>
  <c r="BU61" i="25" s="1"/>
  <c r="BE61" i="25"/>
  <c r="BJ61" i="25" s="1"/>
  <c r="BQ69" i="25"/>
  <c r="BE69" i="25"/>
  <c r="BJ69" i="25" s="1"/>
  <c r="BQ75" i="25"/>
  <c r="BE75" i="25"/>
  <c r="BJ75" i="25" s="1"/>
  <c r="BQ80" i="25"/>
  <c r="BE80" i="25"/>
  <c r="BJ80" i="25" s="1"/>
  <c r="BQ83" i="25"/>
  <c r="BE83" i="25"/>
  <c r="BJ83" i="25" s="1"/>
  <c r="BQ25" i="25"/>
  <c r="BE25" i="25"/>
  <c r="BJ25" i="25" s="1"/>
  <c r="BQ68" i="25"/>
  <c r="BE68" i="25"/>
  <c r="BJ68" i="25" s="1"/>
  <c r="BQ77" i="25"/>
  <c r="BE77" i="25"/>
  <c r="BJ77" i="25" s="1"/>
  <c r="BQ63" i="25"/>
  <c r="BE63" i="25"/>
  <c r="BJ63" i="25" s="1"/>
  <c r="BE9" i="25"/>
  <c r="BJ9" i="25" s="1"/>
  <c r="BQ9" i="25"/>
  <c r="BQ28" i="25"/>
  <c r="BE28" i="25"/>
  <c r="BJ28" i="25" s="1"/>
  <c r="BQ26" i="25"/>
  <c r="BE26" i="25"/>
  <c r="BJ26" i="25" s="1"/>
  <c r="BQ62" i="25"/>
  <c r="BE62" i="25"/>
  <c r="BJ62" i="25" s="1"/>
  <c r="BQ105" i="25"/>
  <c r="BE105" i="25"/>
  <c r="BJ105" i="25" s="1"/>
  <c r="BQ71" i="25"/>
  <c r="BE71" i="25"/>
  <c r="BJ71" i="25" s="1"/>
  <c r="BQ48" i="25"/>
  <c r="BE48" i="25"/>
  <c r="BJ48" i="25" s="1"/>
  <c r="BQ56" i="25"/>
  <c r="BE56" i="25"/>
  <c r="BJ56" i="25" s="1"/>
  <c r="BQ34" i="25"/>
  <c r="BU34" i="25" s="1"/>
  <c r="BE34" i="25"/>
  <c r="BJ34" i="25" s="1"/>
  <c r="BQ70" i="25"/>
  <c r="BE70" i="25"/>
  <c r="BJ70" i="25" s="1"/>
  <c r="BQ10" i="25"/>
  <c r="BE10" i="25"/>
  <c r="BJ10" i="25" s="1"/>
  <c r="BQ82" i="25"/>
  <c r="BE82" i="25"/>
  <c r="BJ82" i="25" s="1"/>
  <c r="BQ27" i="25"/>
  <c r="BE27" i="25"/>
  <c r="BJ27" i="25" s="1"/>
  <c r="BQ42" i="25"/>
  <c r="BE42" i="25"/>
  <c r="BJ42" i="25" s="1"/>
  <c r="BQ14" i="25"/>
  <c r="BE14" i="25"/>
  <c r="BJ14" i="25" s="1"/>
  <c r="BQ102" i="25"/>
  <c r="BU102" i="25" s="1"/>
  <c r="BE102" i="25"/>
  <c r="BJ102" i="25" s="1"/>
  <c r="BQ93" i="25"/>
  <c r="BE93" i="25"/>
  <c r="BJ93" i="25" s="1"/>
  <c r="BQ78" i="25"/>
  <c r="BE78" i="25"/>
  <c r="BJ78" i="25" s="1"/>
  <c r="BQ100" i="25"/>
  <c r="BE100" i="25"/>
  <c r="BJ100" i="25" s="1"/>
  <c r="BQ103" i="25"/>
  <c r="BU103" i="25" s="1"/>
  <c r="BE103" i="25"/>
  <c r="BJ103" i="25" s="1"/>
  <c r="BQ88" i="25"/>
  <c r="BE88" i="25"/>
  <c r="BJ88" i="25" s="1"/>
  <c r="BQ40" i="25"/>
  <c r="BE40" i="25"/>
  <c r="BJ40" i="25" s="1"/>
  <c r="BQ39" i="25"/>
  <c r="BE39" i="25"/>
  <c r="BJ39" i="25" s="1"/>
  <c r="BQ37" i="25"/>
  <c r="BE37" i="25"/>
  <c r="BJ37" i="25" s="1"/>
  <c r="BQ17" i="25"/>
  <c r="BE17" i="25"/>
  <c r="BJ17" i="25" s="1"/>
  <c r="BQ16" i="25"/>
  <c r="BE16" i="25"/>
  <c r="BJ16" i="25" s="1"/>
  <c r="BQ51" i="25"/>
  <c r="BE51" i="25"/>
  <c r="BJ51" i="25" s="1"/>
  <c r="BQ47" i="25"/>
  <c r="BE47" i="25"/>
  <c r="BJ47" i="25" s="1"/>
  <c r="BE7" i="25"/>
  <c r="BJ7" i="25" s="1"/>
  <c r="BQ7" i="25"/>
  <c r="BQ30" i="25"/>
  <c r="BE30" i="25"/>
  <c r="BJ30" i="25" s="1"/>
  <c r="BQ53" i="25"/>
  <c r="BE53" i="25"/>
  <c r="BJ53" i="25" s="1"/>
  <c r="BQ44" i="25"/>
  <c r="BE44" i="25"/>
  <c r="BJ44" i="25" s="1"/>
  <c r="BQ12" i="25"/>
  <c r="BE12" i="25"/>
  <c r="BJ12" i="25" s="1"/>
  <c r="BQ72" i="25"/>
  <c r="BE72" i="25"/>
  <c r="BJ72" i="25" s="1"/>
  <c r="BQ41" i="25"/>
  <c r="BE41" i="25"/>
  <c r="BJ41" i="25" s="1"/>
  <c r="BQ79" i="25"/>
  <c r="BE79" i="25"/>
  <c r="BJ79" i="25" s="1"/>
  <c r="BQ76" i="25"/>
  <c r="BE76" i="25"/>
  <c r="BJ76" i="25" s="1"/>
  <c r="BQ11" i="25"/>
  <c r="BE11" i="25"/>
  <c r="BJ11" i="25" s="1"/>
  <c r="BQ31" i="25"/>
  <c r="BE31" i="25"/>
  <c r="BJ31" i="25" s="1"/>
  <c r="BQ22" i="25"/>
  <c r="BE22" i="25"/>
  <c r="BJ22" i="25" s="1"/>
  <c r="BQ101" i="25"/>
  <c r="BE101" i="25"/>
  <c r="BJ101" i="25" s="1"/>
  <c r="BQ29" i="25"/>
  <c r="BE29" i="25"/>
  <c r="BJ29" i="25" s="1"/>
  <c r="BQ50" i="25"/>
  <c r="BE50" i="25"/>
  <c r="BJ50" i="25" s="1"/>
  <c r="BQ49" i="25"/>
  <c r="BU49" i="25" s="1"/>
  <c r="BE49" i="25"/>
  <c r="BJ49" i="25" s="1"/>
  <c r="BQ87" i="25"/>
  <c r="BE87" i="25"/>
  <c r="BJ87" i="25" s="1"/>
  <c r="BR79" i="24"/>
  <c r="BG100" i="24"/>
  <c r="BL100" i="24" s="1"/>
  <c r="BM100" i="24" s="1"/>
  <c r="BR54" i="24"/>
  <c r="BR14" i="24"/>
  <c r="BR95" i="24"/>
  <c r="BG83" i="24"/>
  <c r="BL83" i="24" s="1"/>
  <c r="BM83" i="24" s="1"/>
  <c r="BG50" i="24"/>
  <c r="BL50" i="24" s="1"/>
  <c r="BM50" i="24" s="1"/>
  <c r="BG70" i="24"/>
  <c r="BL70" i="24" s="1"/>
  <c r="BM70" i="24" s="1"/>
  <c r="BG25" i="24"/>
  <c r="BL25" i="24" s="1"/>
  <c r="BM25" i="24" s="1"/>
  <c r="BG60" i="24"/>
  <c r="BL60" i="24" s="1"/>
  <c r="BM60" i="24" s="1"/>
  <c r="BG42" i="24"/>
  <c r="BL42" i="24" s="1"/>
  <c r="BM42" i="24" s="1"/>
  <c r="BG55" i="24"/>
  <c r="BL55" i="24" s="1"/>
  <c r="BM55" i="24" s="1"/>
  <c r="BG28" i="24"/>
  <c r="BL28" i="24" s="1"/>
  <c r="BM28" i="24" s="1"/>
  <c r="BG10" i="24"/>
  <c r="BL10" i="24" s="1"/>
  <c r="BM10" i="24" s="1"/>
  <c r="BG101" i="24"/>
  <c r="BL101" i="24" s="1"/>
  <c r="BM101" i="24" s="1"/>
  <c r="BG19" i="24"/>
  <c r="BL19" i="24" s="1"/>
  <c r="BM19" i="24" s="1"/>
  <c r="BG63" i="24"/>
  <c r="BL63" i="24" s="1"/>
  <c r="BM63" i="24" s="1"/>
  <c r="BR41" i="24"/>
  <c r="BG72" i="24"/>
  <c r="BL72" i="24" s="1"/>
  <c r="BM72" i="24" s="1"/>
  <c r="BG46" i="24"/>
  <c r="BL46" i="24" s="1"/>
  <c r="BM46" i="24" s="1"/>
  <c r="BR91" i="24"/>
  <c r="BR29" i="24"/>
  <c r="BR59" i="24"/>
  <c r="BR85" i="24"/>
  <c r="BR96" i="24"/>
  <c r="BG31" i="24"/>
  <c r="BL31" i="24" s="1"/>
  <c r="BM31" i="24" s="1"/>
  <c r="BG56" i="24"/>
  <c r="BL56" i="24" s="1"/>
  <c r="BM56" i="24" s="1"/>
  <c r="BG18" i="24"/>
  <c r="BL18" i="24" s="1"/>
  <c r="BM18" i="24" s="1"/>
  <c r="BR82" i="24"/>
  <c r="BR36" i="24"/>
  <c r="BR92" i="24"/>
  <c r="BR68" i="24"/>
  <c r="BR87" i="24"/>
  <c r="BR74" i="24"/>
  <c r="BR78" i="24"/>
  <c r="BR105" i="24"/>
  <c r="BR21" i="24"/>
  <c r="BR89" i="24"/>
  <c r="B122" i="2"/>
  <c r="B128" i="2"/>
  <c r="E19" i="1" s="1"/>
  <c r="AZ106" i="19"/>
  <c r="BL106" i="19" s="1"/>
  <c r="BM106" i="19" s="1"/>
  <c r="BZ106" i="19" s="1"/>
  <c r="BK106" i="19"/>
  <c r="B257" i="2"/>
  <c r="BI106" i="19"/>
  <c r="BJ106" i="19"/>
  <c r="BC106" i="19"/>
  <c r="BB106" i="19"/>
  <c r="BD106" i="19"/>
  <c r="BG106" i="19"/>
  <c r="BU106" i="19"/>
  <c r="CA106" i="19" s="1"/>
  <c r="BH106" i="19"/>
  <c r="BA106" i="19"/>
  <c r="BF106" i="19"/>
  <c r="BS106" i="19"/>
  <c r="BE106" i="19"/>
  <c r="BR166" i="24" l="1"/>
  <c r="BW166" i="24" s="1"/>
  <c r="BG133" i="24"/>
  <c r="BX133" i="24" s="1"/>
  <c r="BZ133" i="24" s="1"/>
  <c r="CA133" i="24" s="1"/>
  <c r="BU40" i="25"/>
  <c r="BW40" i="25" s="1"/>
  <c r="BW133" i="24"/>
  <c r="BU62" i="25"/>
  <c r="BX62" i="25" s="1"/>
  <c r="BZ62" i="25" s="1"/>
  <c r="BU83" i="25"/>
  <c r="BX83" i="25" s="1"/>
  <c r="BZ83" i="25" s="1"/>
  <c r="BU20" i="25"/>
  <c r="BW20" i="25" s="1"/>
  <c r="BU86" i="25"/>
  <c r="BX86" i="25" s="1"/>
  <c r="BZ86" i="25" s="1"/>
  <c r="CA86" i="25" s="1"/>
  <c r="BU11" i="25"/>
  <c r="BW11" i="25" s="1"/>
  <c r="BU42" i="25"/>
  <c r="BW42" i="25" s="1"/>
  <c r="BU28" i="25"/>
  <c r="BX28" i="25" s="1"/>
  <c r="BZ28" i="25" s="1"/>
  <c r="CA28" i="25" s="1"/>
  <c r="BU92" i="25"/>
  <c r="BW92" i="25" s="1"/>
  <c r="BU41" i="25"/>
  <c r="BX41" i="25" s="1"/>
  <c r="BZ41" i="25" s="1"/>
  <c r="BU17" i="25"/>
  <c r="BX17" i="25" s="1"/>
  <c r="BZ17" i="25" s="1"/>
  <c r="CA17" i="25" s="1"/>
  <c r="BU100" i="25"/>
  <c r="BX100" i="25" s="1"/>
  <c r="BZ100" i="25" s="1"/>
  <c r="BU10" i="25"/>
  <c r="BX10" i="25" s="1"/>
  <c r="BZ10" i="25" s="1"/>
  <c r="CA10" i="25" s="1"/>
  <c r="BU105" i="25"/>
  <c r="BW105" i="25" s="1"/>
  <c r="BU80" i="25"/>
  <c r="BW80" i="25" s="1"/>
  <c r="BU35" i="25"/>
  <c r="BW35" i="25" s="1"/>
  <c r="BU59" i="25"/>
  <c r="BW59" i="25" s="1"/>
  <c r="BU64" i="25"/>
  <c r="BX64" i="25" s="1"/>
  <c r="BZ64" i="25" s="1"/>
  <c r="BU21" i="25"/>
  <c r="BW21" i="25" s="1"/>
  <c r="BU18" i="25"/>
  <c r="BX18" i="25" s="1"/>
  <c r="BZ18" i="25" s="1"/>
  <c r="CA18" i="25" s="1"/>
  <c r="BK65" i="25"/>
  <c r="BX65" i="25"/>
  <c r="BZ65" i="25" s="1"/>
  <c r="BK49" i="25"/>
  <c r="BX49" i="25"/>
  <c r="BZ49" i="25" s="1"/>
  <c r="CA49" i="25" s="1"/>
  <c r="BK22" i="25"/>
  <c r="BK79" i="25"/>
  <c r="BK44" i="25"/>
  <c r="BK47" i="25"/>
  <c r="BK37" i="25"/>
  <c r="BK78" i="25"/>
  <c r="BK42" i="25"/>
  <c r="BK70" i="25"/>
  <c r="BK71" i="25"/>
  <c r="BK28" i="25"/>
  <c r="BK68" i="25"/>
  <c r="BK75" i="25"/>
  <c r="BK74" i="25"/>
  <c r="BX52" i="25"/>
  <c r="BZ52" i="25" s="1"/>
  <c r="BK52" i="25"/>
  <c r="BK54" i="25"/>
  <c r="BK96" i="25"/>
  <c r="BK15" i="25"/>
  <c r="BK91" i="25"/>
  <c r="BU6" i="25"/>
  <c r="BW6" i="25" s="1"/>
  <c r="BX99" i="25"/>
  <c r="BZ99" i="25" s="1"/>
  <c r="CA99" i="25" s="1"/>
  <c r="BK99" i="25"/>
  <c r="BU22" i="25"/>
  <c r="BX22" i="25" s="1"/>
  <c r="BZ22" i="25" s="1"/>
  <c r="CA22" i="25" s="1"/>
  <c r="BU44" i="25"/>
  <c r="BX44" i="25" s="1"/>
  <c r="BZ44" i="25" s="1"/>
  <c r="BU30" i="25"/>
  <c r="BX30" i="25" s="1"/>
  <c r="BZ30" i="25" s="1"/>
  <c r="CA30" i="25" s="1"/>
  <c r="BU16" i="25"/>
  <c r="BX16" i="25" s="1"/>
  <c r="BZ16" i="25" s="1"/>
  <c r="CA16" i="25" s="1"/>
  <c r="BU37" i="25"/>
  <c r="BX37" i="25" s="1"/>
  <c r="BZ37" i="25" s="1"/>
  <c r="BU71" i="25"/>
  <c r="BX71" i="25" s="1"/>
  <c r="BZ71" i="25" s="1"/>
  <c r="BU74" i="25"/>
  <c r="BX74" i="25" s="1"/>
  <c r="BZ74" i="25" s="1"/>
  <c r="BU54" i="25"/>
  <c r="BX54" i="25" s="1"/>
  <c r="BZ54" i="25" s="1"/>
  <c r="BU46" i="25"/>
  <c r="BX46" i="25" s="1"/>
  <c r="BZ46" i="25" s="1"/>
  <c r="BU96" i="25"/>
  <c r="BX96" i="25" s="1"/>
  <c r="BZ96" i="25" s="1"/>
  <c r="BU15" i="25"/>
  <c r="BX15" i="25" s="1"/>
  <c r="BZ15" i="25" s="1"/>
  <c r="CA15" i="25" s="1"/>
  <c r="BU19" i="25"/>
  <c r="BW19" i="25" s="1"/>
  <c r="BU91" i="25"/>
  <c r="BX91" i="25" s="1"/>
  <c r="BZ91" i="25" s="1"/>
  <c r="BK6" i="25"/>
  <c r="BX32" i="25"/>
  <c r="BZ32" i="25" s="1"/>
  <c r="BK32" i="25"/>
  <c r="BX55" i="25"/>
  <c r="BZ55" i="25" s="1"/>
  <c r="BK55" i="25"/>
  <c r="BK7" i="25"/>
  <c r="BK9" i="25"/>
  <c r="BX90" i="25"/>
  <c r="BZ90" i="25" s="1"/>
  <c r="CA90" i="25" s="1"/>
  <c r="BK90" i="25"/>
  <c r="BX58" i="25"/>
  <c r="BZ58" i="25" s="1"/>
  <c r="BK58" i="25"/>
  <c r="BK29" i="25"/>
  <c r="BK11" i="25"/>
  <c r="BK72" i="25"/>
  <c r="BK30" i="25"/>
  <c r="BK16" i="25"/>
  <c r="BK40" i="25"/>
  <c r="BX103" i="25"/>
  <c r="BZ103" i="25" s="1"/>
  <c r="BK103" i="25"/>
  <c r="BX102" i="25"/>
  <c r="BZ102" i="25" s="1"/>
  <c r="BK102" i="25"/>
  <c r="BK82" i="25"/>
  <c r="BK56" i="25"/>
  <c r="BK62" i="25"/>
  <c r="BK63" i="25"/>
  <c r="BK83" i="25"/>
  <c r="BK61" i="25"/>
  <c r="BX61" i="25"/>
  <c r="BZ61" i="25" s="1"/>
  <c r="BK20" i="25"/>
  <c r="BK86" i="25"/>
  <c r="BK46" i="25"/>
  <c r="BX38" i="25"/>
  <c r="BZ38" i="25" s="1"/>
  <c r="CA38" i="25" s="1"/>
  <c r="BK38" i="25"/>
  <c r="BK19" i="25"/>
  <c r="BK92" i="25"/>
  <c r="BX23" i="25"/>
  <c r="BZ23" i="25" s="1"/>
  <c r="CA23" i="25" s="1"/>
  <c r="BK23" i="25"/>
  <c r="BK73" i="25"/>
  <c r="BX73" i="25"/>
  <c r="BZ73" i="25" s="1"/>
  <c r="BK33" i="25"/>
  <c r="BX33" i="25"/>
  <c r="BZ33" i="25" s="1"/>
  <c r="CA33" i="25" s="1"/>
  <c r="BK87" i="25"/>
  <c r="BK50" i="25"/>
  <c r="BK101" i="25"/>
  <c r="BK31" i="25"/>
  <c r="BK76" i="25"/>
  <c r="BK41" i="25"/>
  <c r="BK12" i="25"/>
  <c r="BK53" i="25"/>
  <c r="BU7" i="25"/>
  <c r="BW7" i="25" s="1"/>
  <c r="BK51" i="25"/>
  <c r="BK17" i="25"/>
  <c r="BK39" i="25"/>
  <c r="BK88" i="25"/>
  <c r="BK100" i="25"/>
  <c r="BK93" i="25"/>
  <c r="BK14" i="25"/>
  <c r="BK27" i="25"/>
  <c r="BK10" i="25"/>
  <c r="BX34" i="25"/>
  <c r="BZ34" i="25" s="1"/>
  <c r="CA34" i="25" s="1"/>
  <c r="BK34" i="25"/>
  <c r="BK48" i="25"/>
  <c r="BK105" i="25"/>
  <c r="E45" i="1" s="1"/>
  <c r="E46" i="1" s="1"/>
  <c r="BK26" i="25"/>
  <c r="BK77" i="25"/>
  <c r="BK25" i="25"/>
  <c r="BK80" i="25"/>
  <c r="BK69" i="25"/>
  <c r="BK35" i="25"/>
  <c r="BK97" i="25"/>
  <c r="BK13" i="25"/>
  <c r="BK81" i="25"/>
  <c r="BK89" i="25"/>
  <c r="BK8" i="25"/>
  <c r="BK24" i="25"/>
  <c r="BK104" i="25"/>
  <c r="BK59" i="25"/>
  <c r="BK64" i="25"/>
  <c r="BK67" i="25"/>
  <c r="BK94" i="25"/>
  <c r="BK21" i="25"/>
  <c r="BK36" i="25"/>
  <c r="BK45" i="25"/>
  <c r="BX43" i="25"/>
  <c r="BZ43" i="25" s="1"/>
  <c r="CA43" i="25" s="1"/>
  <c r="BK43" i="25"/>
  <c r="BX60" i="25"/>
  <c r="BZ60" i="25" s="1"/>
  <c r="BK60" i="25"/>
  <c r="BX98" i="25"/>
  <c r="BZ98" i="25" s="1"/>
  <c r="BK98" i="25"/>
  <c r="BW32" i="25"/>
  <c r="BW60" i="25"/>
  <c r="BW49" i="25"/>
  <c r="BW34" i="25"/>
  <c r="BW99" i="25"/>
  <c r="BW90" i="25"/>
  <c r="BW33" i="25"/>
  <c r="BW98" i="25"/>
  <c r="BW103" i="25"/>
  <c r="BW61" i="25"/>
  <c r="BW52" i="25"/>
  <c r="BW38" i="25"/>
  <c r="BW23" i="25"/>
  <c r="BW65" i="25"/>
  <c r="BW55" i="25"/>
  <c r="BW43" i="25"/>
  <c r="BW102" i="25"/>
  <c r="BW73" i="25"/>
  <c r="BW58" i="25"/>
  <c r="BU50" i="25"/>
  <c r="BX50" i="25" s="1"/>
  <c r="BU51" i="25"/>
  <c r="BX51" i="25" s="1"/>
  <c r="BU78" i="25"/>
  <c r="BX78" i="25" s="1"/>
  <c r="BU63" i="25"/>
  <c r="BX63" i="25" s="1"/>
  <c r="BU75" i="25"/>
  <c r="BX75" i="25" s="1"/>
  <c r="BU101" i="25"/>
  <c r="BX101" i="25" s="1"/>
  <c r="BU76" i="25"/>
  <c r="BX76" i="25" s="1"/>
  <c r="BU12" i="25"/>
  <c r="BX12" i="25" s="1"/>
  <c r="BU53" i="25"/>
  <c r="BX53" i="25" s="1"/>
  <c r="BU82" i="25"/>
  <c r="BX82" i="25" s="1"/>
  <c r="BU70" i="25"/>
  <c r="BX70" i="25" s="1"/>
  <c r="BU9" i="25"/>
  <c r="BX9" i="25" s="1"/>
  <c r="BU57" i="25"/>
  <c r="BX57" i="25" s="1"/>
  <c r="BU68" i="25"/>
  <c r="BX68" i="25" s="1"/>
  <c r="BU27" i="25"/>
  <c r="BX27" i="25" s="1"/>
  <c r="BU26" i="25"/>
  <c r="BX26" i="25" s="1"/>
  <c r="BX19" i="24"/>
  <c r="BZ19" i="24" s="1"/>
  <c r="CA19" i="24" s="1"/>
  <c r="BW19" i="24"/>
  <c r="BX72" i="24"/>
  <c r="BZ72" i="24" s="1"/>
  <c r="CA72" i="24" s="1"/>
  <c r="BW72" i="24"/>
  <c r="BX10" i="24"/>
  <c r="BZ10" i="24" s="1"/>
  <c r="CA10" i="24" s="1"/>
  <c r="BW10" i="24"/>
  <c r="BX101" i="24"/>
  <c r="BZ101" i="24" s="1"/>
  <c r="CA101" i="24" s="1"/>
  <c r="BW101" i="24"/>
  <c r="BX55" i="24"/>
  <c r="BZ55" i="24" s="1"/>
  <c r="CA55" i="24" s="1"/>
  <c r="B255" i="2" s="1"/>
  <c r="BW55" i="24"/>
  <c r="BX100" i="24"/>
  <c r="BZ100" i="24" s="1"/>
  <c r="BW100" i="24"/>
  <c r="BX56" i="24"/>
  <c r="BZ56" i="24" s="1"/>
  <c r="CA56" i="24" s="1"/>
  <c r="BW56" i="24"/>
  <c r="BX25" i="24"/>
  <c r="BZ25" i="24" s="1"/>
  <c r="CA25" i="24" s="1"/>
  <c r="BW25" i="24"/>
  <c r="BX70" i="24"/>
  <c r="BZ70" i="24" s="1"/>
  <c r="BW70" i="24"/>
  <c r="BX60" i="24"/>
  <c r="BZ60" i="24" s="1"/>
  <c r="BW60" i="24"/>
  <c r="BX63" i="24"/>
  <c r="BZ63" i="24" s="1"/>
  <c r="CE63" i="24" s="1"/>
  <c r="BW63" i="24"/>
  <c r="BX31" i="24"/>
  <c r="BZ31" i="24" s="1"/>
  <c r="CA31" i="24" s="1"/>
  <c r="BW31" i="24"/>
  <c r="BX28" i="24"/>
  <c r="BZ28" i="24" s="1"/>
  <c r="CA28" i="24" s="1"/>
  <c r="BW28" i="24"/>
  <c r="BX18" i="24"/>
  <c r="BZ18" i="24" s="1"/>
  <c r="CA18" i="24" s="1"/>
  <c r="BW18" i="24"/>
  <c r="BU48" i="25"/>
  <c r="BX48" i="25" s="1"/>
  <c r="BU66" i="25"/>
  <c r="BX66" i="25" s="1"/>
  <c r="BX69" i="24"/>
  <c r="BZ69" i="24" s="1"/>
  <c r="CA69" i="24" s="1"/>
  <c r="BW69" i="24"/>
  <c r="BX42" i="24"/>
  <c r="BZ42" i="24" s="1"/>
  <c r="CA42" i="24" s="1"/>
  <c r="BW42" i="24"/>
  <c r="BX83" i="24"/>
  <c r="BZ83" i="24" s="1"/>
  <c r="CA83" i="24" s="1"/>
  <c r="BW83" i="24"/>
  <c r="BX46" i="24"/>
  <c r="BZ46" i="24" s="1"/>
  <c r="CA46" i="24" s="1"/>
  <c r="BW46" i="24"/>
  <c r="BX50" i="24"/>
  <c r="BZ50" i="24" s="1"/>
  <c r="BW50" i="24"/>
  <c r="BU87" i="25"/>
  <c r="BX87" i="25" s="1"/>
  <c r="BU56" i="25"/>
  <c r="BX56" i="25" s="1"/>
  <c r="BU85" i="25"/>
  <c r="BX85" i="25" s="1"/>
  <c r="BU39" i="25"/>
  <c r="BX39" i="25" s="1"/>
  <c r="BU88" i="25"/>
  <c r="BX88" i="25" s="1"/>
  <c r="BU93" i="25"/>
  <c r="BX93" i="25" s="1"/>
  <c r="BU14" i="25"/>
  <c r="BX14" i="25" s="1"/>
  <c r="BU77" i="25"/>
  <c r="BX77" i="25" s="1"/>
  <c r="BU25" i="25"/>
  <c r="BX25" i="25" s="1"/>
  <c r="BU69" i="25"/>
  <c r="BX69" i="25" s="1"/>
  <c r="BU97" i="25"/>
  <c r="BX97" i="25" s="1"/>
  <c r="BU13" i="25"/>
  <c r="BX13" i="25" s="1"/>
  <c r="BU81" i="25"/>
  <c r="BX81" i="25" s="1"/>
  <c r="BU89" i="25"/>
  <c r="BX89" i="25" s="1"/>
  <c r="BU8" i="25"/>
  <c r="BX8" i="25" s="1"/>
  <c r="BU24" i="25"/>
  <c r="BX24" i="25" s="1"/>
  <c r="BU104" i="25"/>
  <c r="BX104" i="25" s="1"/>
  <c r="BU67" i="25"/>
  <c r="BX67" i="25" s="1"/>
  <c r="BU94" i="25"/>
  <c r="BX94" i="25" s="1"/>
  <c r="BU36" i="25"/>
  <c r="BX36" i="25" s="1"/>
  <c r="BU45" i="25"/>
  <c r="BX45" i="25" s="1"/>
  <c r="BU84" i="25"/>
  <c r="BX84" i="25" s="1"/>
  <c r="BU95" i="25"/>
  <c r="BX95" i="25" s="1"/>
  <c r="BU31" i="25"/>
  <c r="BX31" i="25" s="1"/>
  <c r="BU29" i="25"/>
  <c r="BX29" i="25" s="1"/>
  <c r="BU79" i="25"/>
  <c r="BX79" i="25" s="1"/>
  <c r="BU72" i="25"/>
  <c r="BX72" i="25" s="1"/>
  <c r="BU47" i="25"/>
  <c r="BX47" i="25" s="1"/>
  <c r="BX5" i="24"/>
  <c r="BZ5" i="24" s="1"/>
  <c r="CA5" i="24" s="1"/>
  <c r="BX53" i="24"/>
  <c r="BZ53" i="24" s="1"/>
  <c r="CA53" i="24" s="1"/>
  <c r="BX32" i="24"/>
  <c r="BZ32" i="24" s="1"/>
  <c r="CA32" i="24" s="1"/>
  <c r="BR22" i="24"/>
  <c r="BU22" i="24" s="1"/>
  <c r="BW22" i="24" s="1"/>
  <c r="BU82" i="24"/>
  <c r="BW82" i="24" s="1"/>
  <c r="BU87" i="24"/>
  <c r="BW87" i="24" s="1"/>
  <c r="BU96" i="24"/>
  <c r="BW96" i="24" s="1"/>
  <c r="BU91" i="24"/>
  <c r="BW91" i="24" s="1"/>
  <c r="BU79" i="24"/>
  <c r="BW79" i="24" s="1"/>
  <c r="BU104" i="24"/>
  <c r="BW104" i="24" s="1"/>
  <c r="BU105" i="24"/>
  <c r="BW105" i="24" s="1"/>
  <c r="BU68" i="24"/>
  <c r="BW68" i="24" s="1"/>
  <c r="BU85" i="24"/>
  <c r="BW85" i="24" s="1"/>
  <c r="BU14" i="24"/>
  <c r="BW14" i="24" s="1"/>
  <c r="BU78" i="24"/>
  <c r="BW78" i="24" s="1"/>
  <c r="BU92" i="24"/>
  <c r="BW92" i="24" s="1"/>
  <c r="BU59" i="24"/>
  <c r="BW59" i="24" s="1"/>
  <c r="BU54" i="24"/>
  <c r="BW54" i="24" s="1"/>
  <c r="BU81" i="24"/>
  <c r="BU51" i="24"/>
  <c r="BU73" i="24"/>
  <c r="BU21" i="24"/>
  <c r="BW21" i="24" s="1"/>
  <c r="BU95" i="24"/>
  <c r="BW95" i="24" s="1"/>
  <c r="BU34" i="24"/>
  <c r="BW34" i="24" s="1"/>
  <c r="BU43" i="24"/>
  <c r="BU89" i="24"/>
  <c r="BW89" i="24" s="1"/>
  <c r="BU74" i="24"/>
  <c r="BW74" i="24" s="1"/>
  <c r="BU36" i="24"/>
  <c r="BW36" i="24" s="1"/>
  <c r="BU29" i="24"/>
  <c r="BU41" i="24"/>
  <c r="BW41" i="24" s="1"/>
  <c r="BU40" i="24"/>
  <c r="BU35" i="24"/>
  <c r="BR165" i="24"/>
  <c r="BW165" i="24" s="1"/>
  <c r="BG167" i="24"/>
  <c r="BM167" i="24" s="1"/>
  <c r="BK171" i="25"/>
  <c r="BX171" i="25"/>
  <c r="BZ171" i="25" s="1"/>
  <c r="BK154" i="25"/>
  <c r="BX154" i="25"/>
  <c r="BZ154" i="25" s="1"/>
  <c r="BX147" i="25"/>
  <c r="BZ147" i="25" s="1"/>
  <c r="BK147" i="25"/>
  <c r="BX139" i="25"/>
  <c r="BZ139" i="25" s="1"/>
  <c r="CA139" i="25" s="1"/>
  <c r="BK139" i="25"/>
  <c r="BX115" i="25"/>
  <c r="BZ115" i="25" s="1"/>
  <c r="CA115" i="25" s="1"/>
  <c r="BK115" i="25"/>
  <c r="BX200" i="25"/>
  <c r="BZ200" i="25" s="1"/>
  <c r="BK200" i="25"/>
  <c r="BX134" i="25"/>
  <c r="BZ134" i="25" s="1"/>
  <c r="BK134" i="25"/>
  <c r="BK126" i="25"/>
  <c r="BX126" i="25"/>
  <c r="BZ126" i="25" s="1"/>
  <c r="CA126" i="25" s="1"/>
  <c r="BK132" i="25"/>
  <c r="BX132" i="25"/>
  <c r="BZ132" i="25" s="1"/>
  <c r="CA132" i="25" s="1"/>
  <c r="BK156" i="25"/>
  <c r="BX156" i="25"/>
  <c r="BZ156" i="25" s="1"/>
  <c r="BX128" i="25"/>
  <c r="BZ128" i="25" s="1"/>
  <c r="BK128" i="25"/>
  <c r="BK173" i="25"/>
  <c r="BX173" i="25"/>
  <c r="BZ173" i="25" s="1"/>
  <c r="BK127" i="25"/>
  <c r="BX127" i="25"/>
  <c r="BZ127" i="25" s="1"/>
  <c r="BK186" i="25"/>
  <c r="BX186" i="25"/>
  <c r="BZ186" i="25" s="1"/>
  <c r="BK166" i="25"/>
  <c r="BX166" i="25"/>
  <c r="BZ166" i="25" s="1"/>
  <c r="BK184" i="25"/>
  <c r="BX184" i="25"/>
  <c r="BZ184" i="25" s="1"/>
  <c r="BK157" i="25"/>
  <c r="BX157" i="25"/>
  <c r="BZ157" i="25" s="1"/>
  <c r="BX124" i="25"/>
  <c r="BZ124" i="25" s="1"/>
  <c r="BK124" i="25"/>
  <c r="BX176" i="25"/>
  <c r="BZ176" i="25" s="1"/>
  <c r="BK176" i="25"/>
  <c r="BK172" i="25"/>
  <c r="BX172" i="25"/>
  <c r="BZ172" i="25" s="1"/>
  <c r="BK203" i="25"/>
  <c r="BX203" i="25"/>
  <c r="BZ203" i="25" s="1"/>
  <c r="BK113" i="25"/>
  <c r="BX113" i="25"/>
  <c r="BZ113" i="25" s="1"/>
  <c r="CA113" i="25" s="1"/>
  <c r="BX131" i="25"/>
  <c r="BZ131" i="25" s="1"/>
  <c r="BK131" i="25"/>
  <c r="BK178" i="25"/>
  <c r="BX178" i="25"/>
  <c r="BZ178" i="25" s="1"/>
  <c r="BK121" i="25"/>
  <c r="BX121" i="25"/>
  <c r="BZ121" i="25" s="1"/>
  <c r="BQ110" i="25"/>
  <c r="BW110" i="25" s="1"/>
  <c r="BE110" i="25"/>
  <c r="BK129" i="25"/>
  <c r="BX129" i="25"/>
  <c r="BZ129" i="25" s="1"/>
  <c r="BK183" i="25"/>
  <c r="BX183" i="25"/>
  <c r="BZ183" i="25" s="1"/>
  <c r="BX161" i="25"/>
  <c r="BZ161" i="25" s="1"/>
  <c r="BK161" i="25"/>
  <c r="BX133" i="25"/>
  <c r="BZ133" i="25" s="1"/>
  <c r="BK133" i="25"/>
  <c r="BX193" i="25"/>
  <c r="BZ193" i="25" s="1"/>
  <c r="BK193" i="25"/>
  <c r="BK138" i="25"/>
  <c r="BX138" i="25"/>
  <c r="BZ138" i="25" s="1"/>
  <c r="BX144" i="25"/>
  <c r="BZ144" i="25" s="1"/>
  <c r="BK144" i="25"/>
  <c r="BX125" i="25"/>
  <c r="BZ125" i="25" s="1"/>
  <c r="CA125" i="25" s="1"/>
  <c r="BK125" i="25"/>
  <c r="BK164" i="25"/>
  <c r="BX164" i="25"/>
  <c r="BZ164" i="25" s="1"/>
  <c r="BX197" i="25"/>
  <c r="BZ197" i="25" s="1"/>
  <c r="BK197" i="25"/>
  <c r="BX112" i="25"/>
  <c r="BZ112" i="25" s="1"/>
  <c r="CA112" i="25" s="1"/>
  <c r="BK112" i="25"/>
  <c r="BK119" i="25"/>
  <c r="BX119" i="25"/>
  <c r="BZ119" i="25" s="1"/>
  <c r="BK206" i="25"/>
  <c r="BX206" i="25"/>
  <c r="BZ206" i="25" s="1"/>
  <c r="BX114" i="25"/>
  <c r="BZ114" i="25" s="1"/>
  <c r="CA114" i="25" s="1"/>
  <c r="BK114" i="25"/>
  <c r="BK137" i="25"/>
  <c r="BX137" i="25"/>
  <c r="BZ137" i="25" s="1"/>
  <c r="BX136" i="25"/>
  <c r="BZ136" i="25" s="1"/>
  <c r="BK136" i="25"/>
  <c r="BK165" i="25"/>
  <c r="BX165" i="25"/>
  <c r="BZ165" i="25" s="1"/>
  <c r="BK185" i="25"/>
  <c r="BX185" i="25"/>
  <c r="BZ185" i="25" s="1"/>
  <c r="BX141" i="25"/>
  <c r="BZ141" i="25" s="1"/>
  <c r="BK141" i="25"/>
  <c r="BK201" i="25"/>
  <c r="BX201" i="25"/>
  <c r="BZ201" i="25" s="1"/>
  <c r="CA201" i="25" s="1"/>
  <c r="BX174" i="25"/>
  <c r="BZ174" i="25" s="1"/>
  <c r="BK174" i="25"/>
  <c r="BX140" i="25"/>
  <c r="BZ140" i="25" s="1"/>
  <c r="BK140" i="25"/>
  <c r="BX120" i="25"/>
  <c r="BZ120" i="25" s="1"/>
  <c r="CA120" i="25" s="1"/>
  <c r="BK120" i="25"/>
  <c r="BK148" i="25"/>
  <c r="BX148" i="25"/>
  <c r="BZ148" i="25" s="1"/>
  <c r="BX192" i="25"/>
  <c r="BZ192" i="25" s="1"/>
  <c r="BK192" i="25"/>
  <c r="BK117" i="25"/>
  <c r="BX117" i="25"/>
  <c r="BZ117" i="25" s="1"/>
  <c r="BX181" i="25"/>
  <c r="BZ181" i="25" s="1"/>
  <c r="BK181" i="25"/>
  <c r="BX116" i="25"/>
  <c r="BZ116" i="25" s="1"/>
  <c r="CA116" i="25" s="1"/>
  <c r="BK116" i="25"/>
  <c r="BK123" i="25"/>
  <c r="BX123" i="25"/>
  <c r="BZ123" i="25" s="1"/>
  <c r="CA123" i="25" s="1"/>
  <c r="BX170" i="25"/>
  <c r="BZ170" i="25" s="1"/>
  <c r="BK170" i="25"/>
  <c r="BX122" i="25"/>
  <c r="BZ122" i="25" s="1"/>
  <c r="CA122" i="25" s="1"/>
  <c r="BK122" i="25"/>
  <c r="BX210" i="25"/>
  <c r="BZ210" i="25" s="1"/>
  <c r="BK210" i="25"/>
  <c r="BK158" i="25"/>
  <c r="BX158" i="25"/>
  <c r="BZ158" i="25" s="1"/>
  <c r="BK163" i="25"/>
  <c r="BX163" i="25"/>
  <c r="BZ163" i="25" s="1"/>
  <c r="BK111" i="25"/>
  <c r="BX111" i="25"/>
  <c r="BZ111" i="25" s="1"/>
  <c r="CA111" i="25" s="1"/>
  <c r="BK159" i="25"/>
  <c r="BX159" i="25"/>
  <c r="BZ159" i="25" s="1"/>
  <c r="BX160" i="25"/>
  <c r="BZ160" i="25" s="1"/>
  <c r="BK168" i="25"/>
  <c r="BX168" i="25"/>
  <c r="BZ168" i="25" s="1"/>
  <c r="BK191" i="25"/>
  <c r="BX191" i="25"/>
  <c r="BZ191" i="25" s="1"/>
  <c r="BK142" i="25"/>
  <c r="BX142" i="25"/>
  <c r="BZ142" i="25" s="1"/>
  <c r="BK145" i="25"/>
  <c r="BX145" i="25"/>
  <c r="BZ145" i="25" s="1"/>
  <c r="BX180" i="25"/>
  <c r="BZ180" i="25" s="1"/>
  <c r="BK180" i="25"/>
  <c r="BX204" i="25"/>
  <c r="BZ204" i="25" s="1"/>
  <c r="CA204" i="25" s="1"/>
  <c r="BK204" i="25"/>
  <c r="BX188" i="25"/>
  <c r="BZ188" i="25" s="1"/>
  <c r="BK188" i="25"/>
  <c r="BK155" i="25"/>
  <c r="BX155" i="25"/>
  <c r="BZ155" i="25" s="1"/>
  <c r="BX187" i="25"/>
  <c r="BZ187" i="25" s="1"/>
  <c r="BK187" i="25"/>
  <c r="BX167" i="25"/>
  <c r="BZ167" i="25" s="1"/>
  <c r="BK167" i="25"/>
  <c r="BK169" i="25"/>
  <c r="BX169" i="25"/>
  <c r="BZ169" i="25" s="1"/>
  <c r="BK150" i="25"/>
  <c r="BX150" i="25"/>
  <c r="BZ150" i="25" s="1"/>
  <c r="BK146" i="25"/>
  <c r="BX146" i="25"/>
  <c r="BZ146" i="25" s="1"/>
  <c r="BK179" i="25"/>
  <c r="BX179" i="25"/>
  <c r="BZ179" i="25" s="1"/>
  <c r="BX151" i="25"/>
  <c r="BZ151" i="25" s="1"/>
  <c r="BK151" i="25"/>
  <c r="BX153" i="25"/>
  <c r="BZ153" i="25" s="1"/>
  <c r="BK153" i="25"/>
  <c r="BX149" i="25"/>
  <c r="BZ149" i="25" s="1"/>
  <c r="BK149" i="25"/>
  <c r="BK199" i="25"/>
  <c r="BX199" i="25"/>
  <c r="BZ199" i="25" s="1"/>
  <c r="BX196" i="25"/>
  <c r="BZ196" i="25" s="1"/>
  <c r="CA196" i="25" s="1"/>
  <c r="BK196" i="25"/>
  <c r="BX205" i="25"/>
  <c r="BZ205" i="25" s="1"/>
  <c r="CA205" i="25" s="1"/>
  <c r="BK205" i="25"/>
  <c r="BK195" i="25"/>
  <c r="BX195" i="25"/>
  <c r="BZ195" i="25" s="1"/>
  <c r="BX190" i="25"/>
  <c r="BZ190" i="25" s="1"/>
  <c r="BK190" i="25"/>
  <c r="BX194" i="25"/>
  <c r="BZ194" i="25" s="1"/>
  <c r="BK194" i="25"/>
  <c r="BK135" i="25"/>
  <c r="BX135" i="25"/>
  <c r="BZ135" i="25" s="1"/>
  <c r="BK177" i="25"/>
  <c r="BX177" i="25"/>
  <c r="BZ177" i="25" s="1"/>
  <c r="BX209" i="25"/>
  <c r="BZ209" i="25" s="1"/>
  <c r="BK209" i="25"/>
  <c r="BX118" i="25"/>
  <c r="BZ118" i="25" s="1"/>
  <c r="CA118" i="25" s="1"/>
  <c r="BK118" i="25"/>
  <c r="BX182" i="25"/>
  <c r="BZ182" i="25" s="1"/>
  <c r="BK182" i="25"/>
  <c r="BX208" i="25"/>
  <c r="BZ208" i="25" s="1"/>
  <c r="BK208" i="25"/>
  <c r="BX130" i="25"/>
  <c r="BZ130" i="25" s="1"/>
  <c r="CA130" i="25" s="1"/>
  <c r="BK130" i="25"/>
  <c r="BK207" i="25"/>
  <c r="BX207" i="25"/>
  <c r="BZ207" i="25" s="1"/>
  <c r="BX162" i="25"/>
  <c r="BZ162" i="25" s="1"/>
  <c r="BK162" i="25"/>
  <c r="BK143" i="25"/>
  <c r="BX143" i="25"/>
  <c r="BZ143" i="25" s="1"/>
  <c r="BX202" i="25"/>
  <c r="BZ202" i="25" s="1"/>
  <c r="BK202" i="25"/>
  <c r="BX198" i="25"/>
  <c r="BZ198" i="25" s="1"/>
  <c r="BK198" i="25"/>
  <c r="BK189" i="25"/>
  <c r="BX189" i="25"/>
  <c r="BZ189" i="25" s="1"/>
  <c r="BK175" i="25"/>
  <c r="BX175" i="25"/>
  <c r="BZ175" i="25" s="1"/>
  <c r="BK152" i="25"/>
  <c r="BX152" i="25"/>
  <c r="BZ152" i="25" s="1"/>
  <c r="BG115" i="24"/>
  <c r="BM115" i="24" s="1"/>
  <c r="BX122" i="24"/>
  <c r="BZ122" i="24" s="1"/>
  <c r="BM122" i="24"/>
  <c r="BX118" i="24"/>
  <c r="BZ118" i="24" s="1"/>
  <c r="CA118" i="24" s="1"/>
  <c r="BM118" i="24"/>
  <c r="BM111" i="24"/>
  <c r="BX111" i="24"/>
  <c r="BZ111" i="24" s="1"/>
  <c r="CA111" i="24" s="1"/>
  <c r="BX125" i="24"/>
  <c r="BZ125" i="24" s="1"/>
  <c r="CA125" i="24" s="1"/>
  <c r="BM125" i="24"/>
  <c r="BR110" i="24"/>
  <c r="BW110" i="24" s="1"/>
  <c r="BG110" i="24"/>
  <c r="BR192" i="24"/>
  <c r="BW192" i="24" s="1"/>
  <c r="BG192" i="24"/>
  <c r="BX142" i="24"/>
  <c r="BZ142" i="24" s="1"/>
  <c r="BM142" i="24"/>
  <c r="BR130" i="24"/>
  <c r="BW130" i="24" s="1"/>
  <c r="BG130" i="24"/>
  <c r="BX120" i="24"/>
  <c r="BZ120" i="24" s="1"/>
  <c r="CA120" i="24" s="1"/>
  <c r="BM120" i="24"/>
  <c r="BX154" i="24"/>
  <c r="BZ154" i="24" s="1"/>
  <c r="BM154" i="24"/>
  <c r="BX204" i="24"/>
  <c r="BZ204" i="24" s="1"/>
  <c r="BM204" i="24"/>
  <c r="BX162" i="24"/>
  <c r="BZ162" i="24" s="1"/>
  <c r="CA162" i="24" s="1"/>
  <c r="BM162" i="24"/>
  <c r="BX121" i="24"/>
  <c r="BZ121" i="24" s="1"/>
  <c r="CA121" i="24" s="1"/>
  <c r="BM121" i="24"/>
  <c r="BX173" i="24"/>
  <c r="BZ173" i="24" s="1"/>
  <c r="BM173" i="24"/>
  <c r="BG208" i="24"/>
  <c r="BR208" i="24"/>
  <c r="BW208" i="24" s="1"/>
  <c r="BR210" i="24"/>
  <c r="BW210" i="24" s="1"/>
  <c r="BG210" i="24"/>
  <c r="BX184" i="24"/>
  <c r="BZ184" i="24" s="1"/>
  <c r="BM184" i="24"/>
  <c r="BX138" i="24"/>
  <c r="BZ138" i="24" s="1"/>
  <c r="BM138" i="24"/>
  <c r="BR206" i="24"/>
  <c r="BW206" i="24" s="1"/>
  <c r="BG206" i="24"/>
  <c r="BR123" i="24"/>
  <c r="BW123" i="24" s="1"/>
  <c r="BG123" i="24"/>
  <c r="BX200" i="24"/>
  <c r="BZ200" i="24" s="1"/>
  <c r="BM200" i="24"/>
  <c r="BR161" i="24"/>
  <c r="BW161" i="24" s="1"/>
  <c r="BG161" i="24"/>
  <c r="BX178" i="24"/>
  <c r="BZ178" i="24" s="1"/>
  <c r="BM178" i="24"/>
  <c r="BX201" i="24"/>
  <c r="BZ201" i="24" s="1"/>
  <c r="BM201" i="24"/>
  <c r="BR176" i="24"/>
  <c r="BW176" i="24" s="1"/>
  <c r="BG176" i="24"/>
  <c r="BX185" i="24"/>
  <c r="BZ185" i="24" s="1"/>
  <c r="BW185" i="24"/>
  <c r="BX170" i="24"/>
  <c r="BZ170" i="24" s="1"/>
  <c r="BM170" i="24"/>
  <c r="BR159" i="24"/>
  <c r="BW159" i="24" s="1"/>
  <c r="BG159" i="24"/>
  <c r="BR181" i="24"/>
  <c r="BG181" i="24"/>
  <c r="BM181" i="24" s="1"/>
  <c r="BR136" i="24"/>
  <c r="BW136" i="24" s="1"/>
  <c r="BG136" i="24"/>
  <c r="BX116" i="24"/>
  <c r="BZ116" i="24" s="1"/>
  <c r="CA116" i="24" s="1"/>
  <c r="BM116" i="24"/>
  <c r="BX158" i="24"/>
  <c r="BZ158" i="24" s="1"/>
  <c r="BM158" i="24"/>
  <c r="BM131" i="24"/>
  <c r="BX131" i="24"/>
  <c r="BZ131" i="24" s="1"/>
  <c r="CA131" i="24" s="1"/>
  <c r="BX128" i="24"/>
  <c r="BZ128" i="24" s="1"/>
  <c r="BM128" i="24"/>
  <c r="BM147" i="24"/>
  <c r="BX147" i="24"/>
  <c r="BZ147" i="24" s="1"/>
  <c r="BM127" i="24"/>
  <c r="BX127" i="24"/>
  <c r="BZ127" i="24" s="1"/>
  <c r="CA127" i="24" s="1"/>
  <c r="BR199" i="24"/>
  <c r="BW199" i="24" s="1"/>
  <c r="BG199" i="24"/>
  <c r="BR194" i="24"/>
  <c r="BW194" i="24" s="1"/>
  <c r="BG194" i="24"/>
  <c r="BM139" i="24"/>
  <c r="BX139" i="24"/>
  <c r="BZ139" i="24" s="1"/>
  <c r="BM207" i="24"/>
  <c r="BX207" i="24"/>
  <c r="BZ207" i="24" s="1"/>
  <c r="BM143" i="24"/>
  <c r="BX143" i="24"/>
  <c r="BZ143" i="24" s="1"/>
  <c r="CA143" i="24" s="1"/>
  <c r="BX180" i="24"/>
  <c r="BZ180" i="24" s="1"/>
  <c r="BM180" i="24"/>
  <c r="BX137" i="24"/>
  <c r="BZ137" i="24" s="1"/>
  <c r="CA137" i="24" s="1"/>
  <c r="BM137" i="24"/>
  <c r="BX202" i="24"/>
  <c r="BZ202" i="24" s="1"/>
  <c r="BM202" i="24"/>
  <c r="BX198" i="24"/>
  <c r="BZ198" i="24" s="1"/>
  <c r="BM198" i="24"/>
  <c r="BR114" i="24"/>
  <c r="BW114" i="24" s="1"/>
  <c r="BG114" i="24"/>
  <c r="BR155" i="24"/>
  <c r="BW155" i="24" s="1"/>
  <c r="BG155" i="24"/>
  <c r="BX146" i="24"/>
  <c r="BZ146" i="24" s="1"/>
  <c r="BM146" i="24"/>
  <c r="BR189" i="24"/>
  <c r="BG189" i="24"/>
  <c r="BM189" i="24" s="1"/>
  <c r="BX145" i="24"/>
  <c r="BZ145" i="24" s="1"/>
  <c r="CA145" i="24" s="1"/>
  <c r="BM145" i="24"/>
  <c r="BM175" i="24"/>
  <c r="BX175" i="24"/>
  <c r="BZ175" i="24" s="1"/>
  <c r="BX124" i="24"/>
  <c r="BZ124" i="24" s="1"/>
  <c r="CA124" i="24" s="1"/>
  <c r="BM124" i="24"/>
  <c r="BX132" i="24"/>
  <c r="BZ132" i="24" s="1"/>
  <c r="CA132" i="24" s="1"/>
  <c r="BM132" i="24"/>
  <c r="BM179" i="24"/>
  <c r="BX179" i="24"/>
  <c r="BZ179" i="24" s="1"/>
  <c r="BX166" i="24"/>
  <c r="BZ166" i="24" s="1"/>
  <c r="BM166" i="24"/>
  <c r="BX177" i="24"/>
  <c r="BZ177" i="24" s="1"/>
  <c r="CA177" i="24" s="1"/>
  <c r="BM177" i="24"/>
  <c r="BM171" i="24"/>
  <c r="BX171" i="24"/>
  <c r="BZ171" i="24" s="1"/>
  <c r="CA171" i="24" s="1"/>
  <c r="BX197" i="24"/>
  <c r="BZ197" i="24" s="1"/>
  <c r="BM197" i="24"/>
  <c r="BX113" i="24"/>
  <c r="BZ113" i="24" s="1"/>
  <c r="CA113" i="24" s="1"/>
  <c r="BM113" i="24"/>
  <c r="BX140" i="24"/>
  <c r="BZ140" i="24" s="1"/>
  <c r="BM140" i="24"/>
  <c r="BX150" i="24"/>
  <c r="BZ150" i="24" s="1"/>
  <c r="BM150" i="24"/>
  <c r="BR182" i="24"/>
  <c r="BG182" i="24"/>
  <c r="BM182" i="24" s="1"/>
  <c r="BR195" i="24"/>
  <c r="BW195" i="24" s="1"/>
  <c r="BG195" i="24"/>
  <c r="BR169" i="24"/>
  <c r="BW169" i="24" s="1"/>
  <c r="BG169" i="24"/>
  <c r="BM165" i="24"/>
  <c r="BM135" i="24"/>
  <c r="BX135" i="24"/>
  <c r="BZ135" i="24" s="1"/>
  <c r="BX164" i="24"/>
  <c r="BZ164" i="24" s="1"/>
  <c r="BM164" i="24"/>
  <c r="BX129" i="24"/>
  <c r="BZ129" i="24" s="1"/>
  <c r="BM129" i="24"/>
  <c r="BX126" i="24"/>
  <c r="BZ126" i="24" s="1"/>
  <c r="CA126" i="24" s="1"/>
  <c r="BM126" i="24"/>
  <c r="BX157" i="24"/>
  <c r="BZ157" i="24" s="1"/>
  <c r="BM157" i="24"/>
  <c r="BR156" i="24"/>
  <c r="BW156" i="24" s="1"/>
  <c r="BG156" i="24"/>
  <c r="BR149" i="24"/>
  <c r="BW149" i="24" s="1"/>
  <c r="BG149" i="24"/>
  <c r="BR172" i="24"/>
  <c r="BW172" i="24" s="1"/>
  <c r="BG172" i="24"/>
  <c r="BR193" i="24"/>
  <c r="BW193" i="24" s="1"/>
  <c r="BG193" i="24"/>
  <c r="BX117" i="24"/>
  <c r="BZ117" i="24" s="1"/>
  <c r="BM117" i="24"/>
  <c r="BX160" i="24"/>
  <c r="BZ160" i="24" s="1"/>
  <c r="BM160" i="24"/>
  <c r="BR168" i="24"/>
  <c r="BW168" i="24" s="1"/>
  <c r="BG168" i="24"/>
  <c r="BM183" i="24"/>
  <c r="BX183" i="24"/>
  <c r="BZ183" i="24" s="1"/>
  <c r="BX148" i="24"/>
  <c r="BZ148" i="24" s="1"/>
  <c r="BM148" i="24"/>
  <c r="BX153" i="24"/>
  <c r="BZ153" i="24" s="1"/>
  <c r="CA153" i="24" s="1"/>
  <c r="BM153" i="24"/>
  <c r="BX186" i="24"/>
  <c r="BZ186" i="24" s="1"/>
  <c r="BW186" i="24"/>
  <c r="BR188" i="24"/>
  <c r="BW188" i="24" s="1"/>
  <c r="BG188" i="24"/>
  <c r="BR112" i="24"/>
  <c r="BW112" i="24" s="1"/>
  <c r="BG112" i="24"/>
  <c r="BR141" i="24"/>
  <c r="BW141" i="24" s="1"/>
  <c r="BG141" i="24"/>
  <c r="BX190" i="24"/>
  <c r="BZ190" i="24" s="1"/>
  <c r="BW190" i="24"/>
  <c r="BX174" i="24"/>
  <c r="BZ174" i="24" s="1"/>
  <c r="BM174" i="24"/>
  <c r="BX196" i="24"/>
  <c r="BZ196" i="24" s="1"/>
  <c r="CA196" i="24" s="1"/>
  <c r="BM196" i="24"/>
  <c r="BG209" i="24"/>
  <c r="BR209" i="24"/>
  <c r="BW209" i="24" s="1"/>
  <c r="BR134" i="24"/>
  <c r="BW134" i="24" s="1"/>
  <c r="BG134" i="24"/>
  <c r="BX205" i="24"/>
  <c r="BZ205" i="24" s="1"/>
  <c r="BM205" i="24"/>
  <c r="BR191" i="24"/>
  <c r="BW191" i="24" s="1"/>
  <c r="BG191" i="24"/>
  <c r="BR119" i="24"/>
  <c r="BW119" i="24" s="1"/>
  <c r="BG119" i="24"/>
  <c r="BM151" i="24"/>
  <c r="BX151" i="24"/>
  <c r="BZ151" i="24" s="1"/>
  <c r="BM163" i="24"/>
  <c r="BX163" i="24"/>
  <c r="BZ163" i="24" s="1"/>
  <c r="CA163" i="24" s="1"/>
  <c r="BM187" i="24"/>
  <c r="BX187" i="24"/>
  <c r="BZ187" i="24" s="1"/>
  <c r="BX152" i="24"/>
  <c r="BZ152" i="24" s="1"/>
  <c r="BM152" i="24"/>
  <c r="BX144" i="24"/>
  <c r="BZ144" i="24" s="1"/>
  <c r="CA144" i="24" s="1"/>
  <c r="BM144" i="24"/>
  <c r="BR203" i="24"/>
  <c r="BW203" i="24" s="1"/>
  <c r="BG203" i="24"/>
  <c r="BR86" i="24"/>
  <c r="BG73" i="24"/>
  <c r="BL73" i="24" s="1"/>
  <c r="BM73" i="24" s="1"/>
  <c r="BR33" i="24"/>
  <c r="BG51" i="24"/>
  <c r="BL51" i="24" s="1"/>
  <c r="BM51" i="24" s="1"/>
  <c r="BR97" i="24"/>
  <c r="BG43" i="24"/>
  <c r="BL43" i="24" s="1"/>
  <c r="BM43" i="24" s="1"/>
  <c r="BR64" i="24"/>
  <c r="BR27" i="24"/>
  <c r="BR23" i="24"/>
  <c r="BR49" i="24"/>
  <c r="BR88" i="24"/>
  <c r="BG81" i="24"/>
  <c r="BL81" i="24" s="1"/>
  <c r="BM81" i="24" s="1"/>
  <c r="BR65" i="24"/>
  <c r="BG35" i="24"/>
  <c r="BL35" i="24" s="1"/>
  <c r="BM35" i="24" s="1"/>
  <c r="AY71" i="24"/>
  <c r="AZ71" i="24" s="1"/>
  <c r="BD71" i="24"/>
  <c r="BE71" i="24"/>
  <c r="BS71" i="24" s="1"/>
  <c r="AY13" i="24"/>
  <c r="AZ13" i="24" s="1"/>
  <c r="BD13" i="24"/>
  <c r="BE13" i="24"/>
  <c r="BS13" i="24" s="1"/>
  <c r="AY15" i="24"/>
  <c r="AZ15" i="24" s="1"/>
  <c r="BE15" i="24"/>
  <c r="BS15" i="24" s="1"/>
  <c r="BD15" i="24"/>
  <c r="AY48" i="24"/>
  <c r="AZ48" i="24" s="1"/>
  <c r="BD48" i="24"/>
  <c r="BE48" i="24"/>
  <c r="BS48" i="24" s="1"/>
  <c r="AY102" i="24"/>
  <c r="AZ102" i="24" s="1"/>
  <c r="BD102" i="24"/>
  <c r="BE102" i="24"/>
  <c r="BS102" i="24" s="1"/>
  <c r="AY93" i="24"/>
  <c r="AZ93" i="24" s="1"/>
  <c r="BE93" i="24"/>
  <c r="BS93" i="24" s="1"/>
  <c r="BD93" i="24"/>
  <c r="AY37" i="24"/>
  <c r="AZ37" i="24" s="1"/>
  <c r="BD37" i="24"/>
  <c r="BE37" i="24"/>
  <c r="BS37" i="24" s="1"/>
  <c r="AY94" i="24"/>
  <c r="AZ94" i="24" s="1"/>
  <c r="BE94" i="24"/>
  <c r="BS94" i="24" s="1"/>
  <c r="BD94" i="24"/>
  <c r="AY8" i="24"/>
  <c r="AZ8" i="24" s="1"/>
  <c r="BD8" i="24"/>
  <c r="BE8" i="24"/>
  <c r="BS8" i="24" s="1"/>
  <c r="AY58" i="24"/>
  <c r="AZ58" i="24" s="1"/>
  <c r="BE58" i="24"/>
  <c r="BS58" i="24" s="1"/>
  <c r="BD58" i="24"/>
  <c r="AY90" i="24"/>
  <c r="AZ90" i="24" s="1"/>
  <c r="BD90" i="24"/>
  <c r="BE90" i="24"/>
  <c r="BS90" i="24" s="1"/>
  <c r="AY99" i="24"/>
  <c r="AZ99" i="24" s="1"/>
  <c r="BD99" i="24"/>
  <c r="BE99" i="24"/>
  <c r="BS99" i="24" s="1"/>
  <c r="AY45" i="24"/>
  <c r="AZ45" i="24" s="1"/>
  <c r="BD45" i="24"/>
  <c r="BE45" i="24"/>
  <c r="BS45" i="24" s="1"/>
  <c r="AY38" i="24"/>
  <c r="AZ38" i="24" s="1"/>
  <c r="BD38" i="24"/>
  <c r="BE38" i="24"/>
  <c r="BS38" i="24" s="1"/>
  <c r="AY77" i="24"/>
  <c r="AZ77" i="24" s="1"/>
  <c r="BE77" i="24"/>
  <c r="BS77" i="24" s="1"/>
  <c r="BD77" i="24"/>
  <c r="AY98" i="24"/>
  <c r="AZ98" i="24" s="1"/>
  <c r="BD98" i="24"/>
  <c r="BE98" i="24"/>
  <c r="BS98" i="24" s="1"/>
  <c r="AY62" i="24"/>
  <c r="AZ62" i="24" s="1"/>
  <c r="BD62" i="24"/>
  <c r="BE62" i="24"/>
  <c r="BS62" i="24" s="1"/>
  <c r="AY47" i="24"/>
  <c r="AZ47" i="24" s="1"/>
  <c r="BE47" i="24"/>
  <c r="BS47" i="24" s="1"/>
  <c r="BD47" i="24"/>
  <c r="AY52" i="24"/>
  <c r="AZ52" i="24" s="1"/>
  <c r="BD52" i="24"/>
  <c r="BE52" i="24"/>
  <c r="BS52" i="24" s="1"/>
  <c r="AY75" i="24"/>
  <c r="AZ75" i="24" s="1"/>
  <c r="BE75" i="24"/>
  <c r="BS75" i="24" s="1"/>
  <c r="BD75" i="24"/>
  <c r="AY103" i="24"/>
  <c r="AZ103" i="24" s="1"/>
  <c r="BE103" i="24"/>
  <c r="BS103" i="24" s="1"/>
  <c r="BD103" i="24"/>
  <c r="AY24" i="24"/>
  <c r="AZ24" i="24" s="1"/>
  <c r="BD24" i="24"/>
  <c r="BE24" i="24"/>
  <c r="BS24" i="24" s="1"/>
  <c r="AY44" i="24"/>
  <c r="AZ44" i="24" s="1"/>
  <c r="BE44" i="24"/>
  <c r="BS44" i="24" s="1"/>
  <c r="BD44" i="24"/>
  <c r="AY67" i="24"/>
  <c r="AZ67" i="24" s="1"/>
  <c r="BE67" i="24"/>
  <c r="BS67" i="24" s="1"/>
  <c r="BD67" i="24"/>
  <c r="AY76" i="24"/>
  <c r="AZ76" i="24" s="1"/>
  <c r="BE76" i="24"/>
  <c r="BS76" i="24" s="1"/>
  <c r="BD76" i="24"/>
  <c r="AY57" i="24"/>
  <c r="AZ57" i="24" s="1"/>
  <c r="BE57" i="24"/>
  <c r="BS57" i="24" s="1"/>
  <c r="BD57" i="24"/>
  <c r="AY84" i="24"/>
  <c r="AZ84" i="24" s="1"/>
  <c r="BD84" i="24"/>
  <c r="BE84" i="24"/>
  <c r="BS84" i="24" s="1"/>
  <c r="AY39" i="24"/>
  <c r="AZ39" i="24" s="1"/>
  <c r="BE39" i="24"/>
  <c r="BS39" i="24" s="1"/>
  <c r="BD39" i="24"/>
  <c r="AY61" i="24"/>
  <c r="AZ61" i="24" s="1"/>
  <c r="BE61" i="24"/>
  <c r="BS61" i="24" s="1"/>
  <c r="BD61" i="24"/>
  <c r="AY16" i="24"/>
  <c r="AZ16" i="24" s="1"/>
  <c r="BE16" i="24"/>
  <c r="BS16" i="24" s="1"/>
  <c r="BD16" i="24"/>
  <c r="AY12" i="24"/>
  <c r="AZ12" i="24" s="1"/>
  <c r="BE12" i="24"/>
  <c r="BS12" i="24" s="1"/>
  <c r="BD12" i="24"/>
  <c r="AY11" i="24"/>
  <c r="AZ11" i="24" s="1"/>
  <c r="BE11" i="24"/>
  <c r="BS11" i="24" s="1"/>
  <c r="BD11" i="24"/>
  <c r="AY17" i="24"/>
  <c r="AZ17" i="24" s="1"/>
  <c r="BD17" i="24"/>
  <c r="BE17" i="24"/>
  <c r="BS17" i="24" s="1"/>
  <c r="AY9" i="24"/>
  <c r="AZ9" i="24" s="1"/>
  <c r="BD9" i="24"/>
  <c r="BE9" i="24"/>
  <c r="BS9" i="24" s="1"/>
  <c r="AY26" i="24"/>
  <c r="AZ26" i="24" s="1"/>
  <c r="BD26" i="24"/>
  <c r="BE26" i="24"/>
  <c r="BS26" i="24" s="1"/>
  <c r="AY20" i="24"/>
  <c r="AZ20" i="24" s="1"/>
  <c r="BE20" i="24"/>
  <c r="BS20" i="24" s="1"/>
  <c r="BD20" i="24"/>
  <c r="AY30" i="24"/>
  <c r="AZ30" i="24" s="1"/>
  <c r="BE30" i="24"/>
  <c r="BS30" i="24" s="1"/>
  <c r="BD30" i="24"/>
  <c r="AY66" i="24"/>
  <c r="AZ66" i="24" s="1"/>
  <c r="BE66" i="24"/>
  <c r="BS66" i="24" s="1"/>
  <c r="BD66" i="24"/>
  <c r="AY80" i="24"/>
  <c r="AZ80" i="24" s="1"/>
  <c r="BD80" i="24"/>
  <c r="BE80" i="24"/>
  <c r="BS80" i="24" s="1"/>
  <c r="AY7" i="24"/>
  <c r="AZ7" i="24" s="1"/>
  <c r="BD7" i="24"/>
  <c r="BE7" i="24"/>
  <c r="BS7" i="24" s="1"/>
  <c r="AY6" i="24"/>
  <c r="AZ6" i="24" s="1"/>
  <c r="BE6" i="24"/>
  <c r="BS6" i="24" s="1"/>
  <c r="BD6" i="24"/>
  <c r="BR5" i="25"/>
  <c r="BQ5" i="25"/>
  <c r="BE5" i="25"/>
  <c r="BJ5" i="25" s="1"/>
  <c r="F66" i="19"/>
  <c r="J9" i="8"/>
  <c r="CA186" i="24" l="1"/>
  <c r="CE186" i="24"/>
  <c r="CA156" i="25"/>
  <c r="CE156" i="25"/>
  <c r="CA210" i="25"/>
  <c r="CE210" i="25"/>
  <c r="CA201" i="24"/>
  <c r="CE201" i="24"/>
  <c r="CA198" i="24"/>
  <c r="CE198" i="24"/>
  <c r="CA180" i="24"/>
  <c r="CE180" i="24"/>
  <c r="CA152" i="25"/>
  <c r="CE152" i="25"/>
  <c r="BM133" i="24"/>
  <c r="CA174" i="24"/>
  <c r="CE174" i="24"/>
  <c r="CA64" i="25"/>
  <c r="CE64" i="25"/>
  <c r="CA71" i="25"/>
  <c r="CE71" i="25"/>
  <c r="CA96" i="25"/>
  <c r="CE96" i="25"/>
  <c r="CA208" i="25"/>
  <c r="CE208" i="25"/>
  <c r="BX6" i="25"/>
  <c r="BZ6" i="25" s="1"/>
  <c r="CA6" i="25" s="1"/>
  <c r="BW83" i="25"/>
  <c r="BX40" i="25"/>
  <c r="BZ40" i="25" s="1"/>
  <c r="CA40" i="25" s="1"/>
  <c r="BW86" i="25"/>
  <c r="BX20" i="25"/>
  <c r="BZ20" i="25" s="1"/>
  <c r="CA20" i="25" s="1"/>
  <c r="CA169" i="25"/>
  <c r="CE169" i="25"/>
  <c r="BW28" i="25"/>
  <c r="CA41" i="25"/>
  <c r="CE41" i="25"/>
  <c r="BW62" i="25"/>
  <c r="CA207" i="25"/>
  <c r="CE207" i="25"/>
  <c r="CA190" i="25"/>
  <c r="CE190" i="25"/>
  <c r="CA58" i="25"/>
  <c r="CE58" i="25"/>
  <c r="CA175" i="25"/>
  <c r="CE175" i="25"/>
  <c r="CA170" i="24"/>
  <c r="CE170" i="24"/>
  <c r="CA37" i="25"/>
  <c r="CE37" i="25"/>
  <c r="CA128" i="25"/>
  <c r="CE128" i="25"/>
  <c r="CA164" i="24"/>
  <c r="CE164" i="24"/>
  <c r="CA140" i="25"/>
  <c r="CE140" i="25"/>
  <c r="CA141" i="25"/>
  <c r="CE141" i="25"/>
  <c r="CA200" i="24"/>
  <c r="CE200" i="24"/>
  <c r="CA128" i="24"/>
  <c r="CE128" i="24"/>
  <c r="CA124" i="25"/>
  <c r="CE124" i="25"/>
  <c r="CA133" i="25"/>
  <c r="CE133" i="25"/>
  <c r="CA187" i="24"/>
  <c r="CE187" i="24"/>
  <c r="CA202" i="24"/>
  <c r="CE202" i="24"/>
  <c r="CA153" i="25"/>
  <c r="CE153" i="25"/>
  <c r="CA173" i="24"/>
  <c r="CE173" i="24"/>
  <c r="CA181" i="25"/>
  <c r="CE181" i="25"/>
  <c r="BX11" i="25"/>
  <c r="BZ11" i="25" s="1"/>
  <c r="CA11" i="25" s="1"/>
  <c r="CA166" i="24"/>
  <c r="CE166" i="24"/>
  <c r="CA62" i="25"/>
  <c r="CE62" i="25"/>
  <c r="CA119" i="25"/>
  <c r="CE119" i="25"/>
  <c r="CA117" i="25"/>
  <c r="CE117" i="25"/>
  <c r="CA117" i="24"/>
  <c r="CE117" i="24"/>
  <c r="CA138" i="24"/>
  <c r="CE138" i="24"/>
  <c r="CA134" i="25"/>
  <c r="CE134" i="25"/>
  <c r="BX80" i="25"/>
  <c r="BZ80" i="25" s="1"/>
  <c r="BX42" i="25"/>
  <c r="BZ42" i="25" s="1"/>
  <c r="CA42" i="25" s="1"/>
  <c r="CA140" i="24"/>
  <c r="CE140" i="24"/>
  <c r="CA142" i="24"/>
  <c r="CE142" i="24"/>
  <c r="CA137" i="25"/>
  <c r="CE137" i="25"/>
  <c r="CA135" i="24"/>
  <c r="CE135" i="24"/>
  <c r="CA131" i="25"/>
  <c r="CE131" i="25"/>
  <c r="CA209" i="25"/>
  <c r="CE209" i="25"/>
  <c r="BW54" i="25"/>
  <c r="CA185" i="25"/>
  <c r="CE185" i="25"/>
  <c r="BW30" i="25"/>
  <c r="BW16" i="25"/>
  <c r="BX21" i="25"/>
  <c r="BZ21" i="25" s="1"/>
  <c r="CA21" i="25" s="1"/>
  <c r="CA129" i="24"/>
  <c r="CE129" i="24"/>
  <c r="CA127" i="25"/>
  <c r="CE127" i="25"/>
  <c r="CA55" i="25"/>
  <c r="CE55" i="25"/>
  <c r="CA73" i="25"/>
  <c r="CE73" i="25"/>
  <c r="BX92" i="25"/>
  <c r="BZ92" i="25" s="1"/>
  <c r="CA148" i="24"/>
  <c r="CE148" i="24"/>
  <c r="CA138" i="25"/>
  <c r="CE138" i="25"/>
  <c r="CA178" i="24"/>
  <c r="CE178" i="24"/>
  <c r="CA160" i="25"/>
  <c r="CE160" i="25"/>
  <c r="CA100" i="25"/>
  <c r="CE100" i="25"/>
  <c r="CA100" i="24"/>
  <c r="CE100" i="24"/>
  <c r="CA184" i="24"/>
  <c r="CE184" i="24"/>
  <c r="CA155" i="25"/>
  <c r="CE155" i="25"/>
  <c r="CA147" i="24"/>
  <c r="CE147" i="24"/>
  <c r="BW17" i="25"/>
  <c r="BW64" i="25"/>
  <c r="BW41" i="25"/>
  <c r="BX105" i="25"/>
  <c r="BZ105" i="25" s="1"/>
  <c r="CA105" i="25" s="1"/>
  <c r="BW96" i="25"/>
  <c r="BX19" i="25"/>
  <c r="BZ19" i="25" s="1"/>
  <c r="CA19" i="25" s="1"/>
  <c r="CA158" i="24"/>
  <c r="CE158" i="24"/>
  <c r="BW74" i="25"/>
  <c r="CA61" i="25"/>
  <c r="CE61" i="25"/>
  <c r="BW15" i="25"/>
  <c r="BW71" i="25"/>
  <c r="BW44" i="25"/>
  <c r="BW91" i="25"/>
  <c r="BX59" i="25"/>
  <c r="BZ59" i="25" s="1"/>
  <c r="BW100" i="25"/>
  <c r="BW18" i="25"/>
  <c r="BX35" i="25"/>
  <c r="BZ35" i="25" s="1"/>
  <c r="CA35" i="25" s="1"/>
  <c r="BW10" i="25"/>
  <c r="BX7" i="25"/>
  <c r="BZ7" i="25" s="1"/>
  <c r="CA7" i="25" s="1"/>
  <c r="BK5" i="25"/>
  <c r="CA197" i="25"/>
  <c r="CE197" i="25"/>
  <c r="BW37" i="25"/>
  <c r="BW46" i="25"/>
  <c r="BW22" i="25"/>
  <c r="BW79" i="25"/>
  <c r="BZ79" i="25"/>
  <c r="CA79" i="25" s="1"/>
  <c r="BW89" i="25"/>
  <c r="BW56" i="25"/>
  <c r="BZ56" i="25"/>
  <c r="CA56" i="25" s="1"/>
  <c r="BW66" i="25"/>
  <c r="BW68" i="25"/>
  <c r="BZ68" i="25"/>
  <c r="CA68" i="25" s="1"/>
  <c r="BW82" i="25"/>
  <c r="BW51" i="25"/>
  <c r="BZ51" i="25"/>
  <c r="CA51" i="25" s="1"/>
  <c r="BW67" i="25"/>
  <c r="BW93" i="25"/>
  <c r="BZ93" i="25"/>
  <c r="CA93" i="25" s="1"/>
  <c r="BW45" i="25"/>
  <c r="BZ45" i="25"/>
  <c r="CA45" i="25" s="1"/>
  <c r="BW81" i="25"/>
  <c r="BZ81" i="25"/>
  <c r="BW88" i="25"/>
  <c r="BZ88" i="25"/>
  <c r="BW48" i="25"/>
  <c r="BZ48" i="25"/>
  <c r="BW53" i="25"/>
  <c r="BZ53" i="25"/>
  <c r="CA53" i="25" s="1"/>
  <c r="BW75" i="25"/>
  <c r="BZ75" i="25"/>
  <c r="CA75" i="25" s="1"/>
  <c r="BW50" i="25"/>
  <c r="BZ50" i="25"/>
  <c r="BW47" i="25"/>
  <c r="BW31" i="25"/>
  <c r="BW36" i="25"/>
  <c r="BW24" i="25"/>
  <c r="BW13" i="25"/>
  <c r="BW77" i="25"/>
  <c r="BW39" i="25"/>
  <c r="BW26" i="25"/>
  <c r="BZ26" i="25"/>
  <c r="CA26" i="25" s="1"/>
  <c r="BW9" i="25"/>
  <c r="BZ9" i="25"/>
  <c r="CA9" i="25" s="1"/>
  <c r="BW12" i="25"/>
  <c r="BZ12" i="25"/>
  <c r="CA12" i="25" s="1"/>
  <c r="BW63" i="25"/>
  <c r="BZ63" i="25"/>
  <c r="CA63" i="25" s="1"/>
  <c r="BW84" i="25"/>
  <c r="BW69" i="25"/>
  <c r="BZ69" i="25"/>
  <c r="CA69" i="25" s="1"/>
  <c r="BW101" i="25"/>
  <c r="BW29" i="25"/>
  <c r="BZ29" i="25"/>
  <c r="BW104" i="25"/>
  <c r="BZ104" i="25"/>
  <c r="CA104" i="25" s="1"/>
  <c r="BW25" i="25"/>
  <c r="BZ25" i="25"/>
  <c r="CA25" i="25" s="1"/>
  <c r="BW87" i="25"/>
  <c r="BZ87" i="25"/>
  <c r="CA87" i="25" s="1"/>
  <c r="BW57" i="25"/>
  <c r="BZ57" i="25"/>
  <c r="BW72" i="25"/>
  <c r="BW95" i="25"/>
  <c r="BW94" i="25"/>
  <c r="BW8" i="25"/>
  <c r="BW97" i="25"/>
  <c r="BW14" i="25"/>
  <c r="BZ14" i="25"/>
  <c r="BW85" i="25"/>
  <c r="BW27" i="25"/>
  <c r="BZ27" i="25"/>
  <c r="CA27" i="25" s="1"/>
  <c r="BW70" i="25"/>
  <c r="BZ70" i="25"/>
  <c r="CA70" i="25" s="1"/>
  <c r="BW76" i="25"/>
  <c r="BZ76" i="25"/>
  <c r="CA76" i="25" s="1"/>
  <c r="BW78" i="25"/>
  <c r="BZ78" i="25"/>
  <c r="CA78" i="25" s="1"/>
  <c r="CA202" i="25"/>
  <c r="CE202" i="25"/>
  <c r="BZ84" i="25"/>
  <c r="CA84" i="25" s="1"/>
  <c r="BZ67" i="25"/>
  <c r="CA67" i="25" s="1"/>
  <c r="BZ101" i="25"/>
  <c r="CA101" i="25" s="1"/>
  <c r="BZ82" i="25"/>
  <c r="CA82" i="25" s="1"/>
  <c r="BZ66" i="25"/>
  <c r="CA66" i="25" s="1"/>
  <c r="BZ89" i="25"/>
  <c r="CA89" i="25" s="1"/>
  <c r="BZ72" i="25"/>
  <c r="CA72" i="25" s="1"/>
  <c r="BZ85" i="25"/>
  <c r="BZ97" i="25"/>
  <c r="BZ94" i="25"/>
  <c r="CA94" i="25" s="1"/>
  <c r="BZ95" i="25"/>
  <c r="BX165" i="24"/>
  <c r="BZ165" i="24" s="1"/>
  <c r="CE78" i="25"/>
  <c r="BU5" i="25"/>
  <c r="BW5" i="25" s="1"/>
  <c r="CA163" i="25"/>
  <c r="CE163" i="25"/>
  <c r="BX35" i="24"/>
  <c r="BZ35" i="24" s="1"/>
  <c r="CA35" i="24" s="1"/>
  <c r="BW35" i="24"/>
  <c r="BX51" i="24"/>
  <c r="BZ51" i="24" s="1"/>
  <c r="CA51" i="24" s="1"/>
  <c r="BW51" i="24"/>
  <c r="BX40" i="24"/>
  <c r="BZ40" i="24" s="1"/>
  <c r="CA40" i="24" s="1"/>
  <c r="BW40" i="24"/>
  <c r="BX81" i="24"/>
  <c r="BZ81" i="24" s="1"/>
  <c r="BW81" i="24"/>
  <c r="BX29" i="24"/>
  <c r="BZ29" i="24" s="1"/>
  <c r="BW29" i="24"/>
  <c r="BX43" i="24"/>
  <c r="BZ43" i="24" s="1"/>
  <c r="CA43" i="24" s="1"/>
  <c r="BW43" i="24"/>
  <c r="BX73" i="24"/>
  <c r="BZ73" i="24" s="1"/>
  <c r="BW73" i="24"/>
  <c r="BZ24" i="25"/>
  <c r="CA24" i="25" s="1"/>
  <c r="BZ13" i="25"/>
  <c r="BZ36" i="25"/>
  <c r="CA36" i="25" s="1"/>
  <c r="BZ8" i="25"/>
  <c r="CA8" i="25" s="1"/>
  <c r="BZ77" i="25"/>
  <c r="CA77" i="25" s="1"/>
  <c r="BZ39" i="25"/>
  <c r="CA39" i="25" s="1"/>
  <c r="BZ47" i="25"/>
  <c r="CA47" i="25" s="1"/>
  <c r="BZ31" i="25"/>
  <c r="CA31" i="25" s="1"/>
  <c r="BX74" i="24"/>
  <c r="BZ74" i="24" s="1"/>
  <c r="CA74" i="24" s="1"/>
  <c r="BX95" i="24"/>
  <c r="BZ95" i="24" s="1"/>
  <c r="BX92" i="24"/>
  <c r="BZ92" i="24" s="1"/>
  <c r="CA92" i="24" s="1"/>
  <c r="BX104" i="24"/>
  <c r="BZ104" i="24" s="1"/>
  <c r="CA104" i="24" s="1"/>
  <c r="BX91" i="24"/>
  <c r="BZ91" i="24" s="1"/>
  <c r="BX87" i="24"/>
  <c r="BZ87" i="24" s="1"/>
  <c r="CA87" i="24" s="1"/>
  <c r="BX22" i="24"/>
  <c r="BZ22" i="24" s="1"/>
  <c r="CA22" i="24" s="1"/>
  <c r="BX41" i="24"/>
  <c r="BZ41" i="24" s="1"/>
  <c r="BX36" i="24"/>
  <c r="BZ36" i="24" s="1"/>
  <c r="CA36" i="24" s="1"/>
  <c r="BX89" i="24"/>
  <c r="BZ89" i="24" s="1"/>
  <c r="CA89" i="24" s="1"/>
  <c r="BX34" i="24"/>
  <c r="BZ34" i="24" s="1"/>
  <c r="CA34" i="24" s="1"/>
  <c r="BX21" i="24"/>
  <c r="BZ21" i="24" s="1"/>
  <c r="CA21" i="24" s="1"/>
  <c r="BX78" i="24"/>
  <c r="BZ78" i="24" s="1"/>
  <c r="CA78" i="24" s="1"/>
  <c r="BX85" i="24"/>
  <c r="BZ85" i="24" s="1"/>
  <c r="CA85" i="24" s="1"/>
  <c r="BX105" i="24"/>
  <c r="BZ105" i="24" s="1"/>
  <c r="CA105" i="24" s="1"/>
  <c r="BX82" i="24"/>
  <c r="BZ82" i="24" s="1"/>
  <c r="CA82" i="24" s="1"/>
  <c r="BX54" i="24"/>
  <c r="BZ54" i="24" s="1"/>
  <c r="CA54" i="24" s="1"/>
  <c r="BX59" i="24"/>
  <c r="BZ59" i="24" s="1"/>
  <c r="BX79" i="24"/>
  <c r="BZ79" i="24" s="1"/>
  <c r="CA79" i="24" s="1"/>
  <c r="BX96" i="24"/>
  <c r="BZ96" i="24" s="1"/>
  <c r="CA96" i="24" s="1"/>
  <c r="BX14" i="24"/>
  <c r="BZ14" i="24" s="1"/>
  <c r="BX68" i="24"/>
  <c r="BZ68" i="24" s="1"/>
  <c r="CA68" i="24" s="1"/>
  <c r="CA198" i="25"/>
  <c r="CE198" i="25"/>
  <c r="CA205" i="24"/>
  <c r="CE205" i="24"/>
  <c r="CA189" i="25"/>
  <c r="CE189" i="25"/>
  <c r="CA194" i="25"/>
  <c r="CE194" i="25"/>
  <c r="BU97" i="24"/>
  <c r="BW97" i="24" s="1"/>
  <c r="BU88" i="24"/>
  <c r="BW88" i="24" s="1"/>
  <c r="BU27" i="24"/>
  <c r="BW27" i="24" s="1"/>
  <c r="BU86" i="24"/>
  <c r="BW86" i="24" s="1"/>
  <c r="BU65" i="24"/>
  <c r="BW65" i="24" s="1"/>
  <c r="BU64" i="24"/>
  <c r="BW64" i="24" s="1"/>
  <c r="BU33" i="24"/>
  <c r="BW33" i="24" s="1"/>
  <c r="BU23" i="24"/>
  <c r="BW23" i="24" s="1"/>
  <c r="BU49" i="24"/>
  <c r="BW49" i="24" s="1"/>
  <c r="CA152" i="24"/>
  <c r="CE152" i="24"/>
  <c r="CE94" i="25"/>
  <c r="CA157" i="25"/>
  <c r="CE157" i="25"/>
  <c r="CA147" i="25"/>
  <c r="CE147" i="25"/>
  <c r="CA91" i="25"/>
  <c r="CE91" i="25"/>
  <c r="CA182" i="25"/>
  <c r="CE182" i="25"/>
  <c r="CA168" i="25"/>
  <c r="CE168" i="25"/>
  <c r="CA191" i="25"/>
  <c r="CE191" i="25"/>
  <c r="CA186" i="25"/>
  <c r="CE186" i="25"/>
  <c r="CA162" i="25"/>
  <c r="CE162" i="25"/>
  <c r="CA172" i="25"/>
  <c r="CE172" i="25"/>
  <c r="CA197" i="24"/>
  <c r="CE197" i="24"/>
  <c r="CA154" i="25"/>
  <c r="CE154" i="25"/>
  <c r="CE93" i="25"/>
  <c r="CA193" i="25"/>
  <c r="CE193" i="25"/>
  <c r="CA192" i="25"/>
  <c r="CE192" i="25"/>
  <c r="CA183" i="25"/>
  <c r="CE183" i="25"/>
  <c r="CE84" i="25"/>
  <c r="CA158" i="25"/>
  <c r="CE158" i="25"/>
  <c r="CE56" i="25"/>
  <c r="CE68" i="25"/>
  <c r="CA183" i="24"/>
  <c r="CE183" i="24"/>
  <c r="CA151" i="25"/>
  <c r="CE151" i="25"/>
  <c r="CA200" i="25"/>
  <c r="CE200" i="25"/>
  <c r="CE82" i="25"/>
  <c r="CA199" i="25"/>
  <c r="CE199" i="25"/>
  <c r="CE45" i="25"/>
  <c r="CA146" i="24"/>
  <c r="CE146" i="24"/>
  <c r="CA195" i="25"/>
  <c r="CE195" i="25"/>
  <c r="CA149" i="25"/>
  <c r="CE149" i="25"/>
  <c r="CA136" i="25"/>
  <c r="CE136" i="25"/>
  <c r="CA32" i="25"/>
  <c r="CE32" i="25"/>
  <c r="CA129" i="25"/>
  <c r="CE129" i="25"/>
  <c r="CE25" i="25"/>
  <c r="CE31" i="25"/>
  <c r="CE89" i="24"/>
  <c r="CA52" i="25"/>
  <c r="CE52" i="25"/>
  <c r="CA60" i="25"/>
  <c r="CE60" i="25"/>
  <c r="CA151" i="24"/>
  <c r="CE151" i="24"/>
  <c r="CA60" i="24"/>
  <c r="CE60" i="24"/>
  <c r="CA145" i="25"/>
  <c r="CE145" i="25"/>
  <c r="CA171" i="25"/>
  <c r="CE171" i="25"/>
  <c r="CA175" i="24"/>
  <c r="CE175" i="24"/>
  <c r="CA159" i="25"/>
  <c r="CE159" i="25"/>
  <c r="CE87" i="24"/>
  <c r="CA157" i="24"/>
  <c r="CE157" i="24"/>
  <c r="CE70" i="25"/>
  <c r="CA150" i="25"/>
  <c r="CE150" i="25"/>
  <c r="CA70" i="24"/>
  <c r="CE70" i="24"/>
  <c r="CA83" i="25"/>
  <c r="CE83" i="25"/>
  <c r="CA46" i="25"/>
  <c r="CE46" i="25"/>
  <c r="CA148" i="25"/>
  <c r="CE148" i="25"/>
  <c r="CA142" i="25"/>
  <c r="CE142" i="25"/>
  <c r="CE40" i="25"/>
  <c r="CE68" i="24"/>
  <c r="CA65" i="25"/>
  <c r="CE65" i="25"/>
  <c r="CA165" i="25"/>
  <c r="CE165" i="25"/>
  <c r="CE87" i="25"/>
  <c r="CA188" i="25"/>
  <c r="CE188" i="25"/>
  <c r="CA180" i="25"/>
  <c r="CE180" i="25"/>
  <c r="CA187" i="25"/>
  <c r="CE187" i="25"/>
  <c r="CA121" i="25"/>
  <c r="CE121" i="25"/>
  <c r="CE20" i="25"/>
  <c r="CA122" i="24"/>
  <c r="CE122" i="24"/>
  <c r="CE54" i="24"/>
  <c r="CA54" i="25"/>
  <c r="CE54" i="25"/>
  <c r="CE63" i="25"/>
  <c r="CA143" i="25"/>
  <c r="CE143" i="25"/>
  <c r="CE105" i="25"/>
  <c r="CE105" i="24"/>
  <c r="CA161" i="25"/>
  <c r="CE161" i="25"/>
  <c r="CA185" i="24"/>
  <c r="CE185" i="24"/>
  <c r="CA178" i="25"/>
  <c r="CE178" i="25"/>
  <c r="CA184" i="25"/>
  <c r="CE184" i="25"/>
  <c r="CA167" i="25"/>
  <c r="CE167" i="25"/>
  <c r="CA176" i="25"/>
  <c r="CE176" i="25"/>
  <c r="CA179" i="25"/>
  <c r="CE179" i="25"/>
  <c r="CA204" i="24"/>
  <c r="CE204" i="24"/>
  <c r="CA98" i="25"/>
  <c r="CE98" i="25"/>
  <c r="CA177" i="25"/>
  <c r="CE177" i="25"/>
  <c r="CA203" i="25"/>
  <c r="CE203" i="25"/>
  <c r="CA166" i="25"/>
  <c r="CE166" i="25"/>
  <c r="CA179" i="24"/>
  <c r="CE179" i="24"/>
  <c r="CA74" i="25"/>
  <c r="CE74" i="25"/>
  <c r="CA146" i="25"/>
  <c r="CE146" i="25"/>
  <c r="CA154" i="24"/>
  <c r="CE154" i="24"/>
  <c r="CE74" i="24"/>
  <c r="CA164" i="25"/>
  <c r="CE164" i="25"/>
  <c r="CA190" i="24"/>
  <c r="CE190" i="24"/>
  <c r="CA170" i="25"/>
  <c r="CE170" i="25"/>
  <c r="BX167" i="24"/>
  <c r="BZ167" i="24" s="1"/>
  <c r="CA139" i="24"/>
  <c r="CE139" i="24"/>
  <c r="CA50" i="24"/>
  <c r="CE50" i="24"/>
  <c r="CA44" i="25"/>
  <c r="CE44" i="25"/>
  <c r="CA135" i="25"/>
  <c r="CE135" i="25"/>
  <c r="CE47" i="25"/>
  <c r="CE67" i="25"/>
  <c r="CA160" i="24"/>
  <c r="CE160" i="24"/>
  <c r="CA144" i="25"/>
  <c r="CE144" i="25"/>
  <c r="CA174" i="25"/>
  <c r="CE174" i="25"/>
  <c r="CA103" i="25"/>
  <c r="CE103" i="25"/>
  <c r="CA207" i="24"/>
  <c r="CE207" i="24"/>
  <c r="CA206" i="25"/>
  <c r="CE206" i="25"/>
  <c r="CA173" i="25"/>
  <c r="CE173" i="25"/>
  <c r="CA102" i="25"/>
  <c r="CE102" i="25"/>
  <c r="CA63" i="24"/>
  <c r="BX115" i="24"/>
  <c r="BZ115" i="24" s="1"/>
  <c r="CA115" i="24" s="1"/>
  <c r="CA150" i="24"/>
  <c r="CE150" i="24"/>
  <c r="BX110" i="25"/>
  <c r="BZ110" i="25" s="1"/>
  <c r="CA110" i="25" s="1"/>
  <c r="BK110" i="25"/>
  <c r="BM119" i="24"/>
  <c r="BX119" i="24"/>
  <c r="BZ119" i="24" s="1"/>
  <c r="BX168" i="24"/>
  <c r="BZ168" i="24" s="1"/>
  <c r="BM168" i="24"/>
  <c r="BX156" i="24"/>
  <c r="BZ156" i="24" s="1"/>
  <c r="CA156" i="24" s="1"/>
  <c r="BM156" i="24"/>
  <c r="BM195" i="24"/>
  <c r="BX195" i="24"/>
  <c r="BZ195" i="24" s="1"/>
  <c r="BM155" i="24"/>
  <c r="BX155" i="24"/>
  <c r="BZ155" i="24" s="1"/>
  <c r="BX181" i="24"/>
  <c r="BZ181" i="24" s="1"/>
  <c r="BW181" i="24"/>
  <c r="BX176" i="24"/>
  <c r="BZ176" i="24" s="1"/>
  <c r="BM176" i="24"/>
  <c r="BX206" i="24"/>
  <c r="BZ206" i="24" s="1"/>
  <c r="BM206" i="24"/>
  <c r="BX210" i="24"/>
  <c r="BZ210" i="24" s="1"/>
  <c r="BM210" i="24"/>
  <c r="BX130" i="24"/>
  <c r="BZ130" i="24" s="1"/>
  <c r="CA130" i="24" s="1"/>
  <c r="BM130" i="24"/>
  <c r="BX192" i="24"/>
  <c r="BZ192" i="24" s="1"/>
  <c r="BM192" i="24"/>
  <c r="BX189" i="24"/>
  <c r="BZ189" i="24" s="1"/>
  <c r="CA189" i="24" s="1"/>
  <c r="BW189" i="24"/>
  <c r="BX194" i="24"/>
  <c r="BZ194" i="24" s="1"/>
  <c r="BM194" i="24"/>
  <c r="BX136" i="24"/>
  <c r="BZ136" i="24" s="1"/>
  <c r="CA136" i="24" s="1"/>
  <c r="BM136" i="24"/>
  <c r="BM159" i="24"/>
  <c r="BX159" i="24"/>
  <c r="BZ159" i="24" s="1"/>
  <c r="BM203" i="24"/>
  <c r="BX203" i="24"/>
  <c r="BZ203" i="24" s="1"/>
  <c r="BX141" i="24"/>
  <c r="BZ141" i="24" s="1"/>
  <c r="BM141" i="24"/>
  <c r="BX188" i="24"/>
  <c r="BZ188" i="24" s="1"/>
  <c r="BM188" i="24"/>
  <c r="BX193" i="24"/>
  <c r="BZ193" i="24" s="1"/>
  <c r="BM193" i="24"/>
  <c r="BX149" i="24"/>
  <c r="BZ149" i="24" s="1"/>
  <c r="BM149" i="24"/>
  <c r="BX169" i="24"/>
  <c r="BZ169" i="24" s="1"/>
  <c r="BM169" i="24"/>
  <c r="BX161" i="24"/>
  <c r="BZ161" i="24" s="1"/>
  <c r="CA161" i="24" s="1"/>
  <c r="BM161" i="24"/>
  <c r="BM123" i="24"/>
  <c r="BX123" i="24"/>
  <c r="BZ123" i="24" s="1"/>
  <c r="CA123" i="24" s="1"/>
  <c r="BX110" i="24"/>
  <c r="BZ110" i="24" s="1"/>
  <c r="CA110" i="24" s="1"/>
  <c r="BM110" i="24"/>
  <c r="BX112" i="24"/>
  <c r="BZ112" i="24" s="1"/>
  <c r="CA112" i="24" s="1"/>
  <c r="BM112" i="24"/>
  <c r="BX172" i="24"/>
  <c r="BZ172" i="24" s="1"/>
  <c r="BM172" i="24"/>
  <c r="BM191" i="24"/>
  <c r="BX191" i="24"/>
  <c r="BZ191" i="24" s="1"/>
  <c r="BX134" i="24"/>
  <c r="BZ134" i="24" s="1"/>
  <c r="CA134" i="24" s="1"/>
  <c r="BM134" i="24"/>
  <c r="BX209" i="24"/>
  <c r="BZ209" i="24" s="1"/>
  <c r="BM209" i="24"/>
  <c r="BX182" i="24"/>
  <c r="BZ182" i="24" s="1"/>
  <c r="BW182" i="24"/>
  <c r="BX114" i="24"/>
  <c r="BZ114" i="24" s="1"/>
  <c r="CA114" i="24" s="1"/>
  <c r="BM114" i="24"/>
  <c r="BM199" i="24"/>
  <c r="BX199" i="24"/>
  <c r="BZ199" i="24" s="1"/>
  <c r="BX208" i="24"/>
  <c r="BZ208" i="24" s="1"/>
  <c r="BM208" i="24"/>
  <c r="BG71" i="24"/>
  <c r="BL71" i="24" s="1"/>
  <c r="BM71" i="24" s="1"/>
  <c r="BR71" i="24"/>
  <c r="BG13" i="24"/>
  <c r="BL13" i="24" s="1"/>
  <c r="BM13" i="24" s="1"/>
  <c r="BR13" i="24"/>
  <c r="BG15" i="24"/>
  <c r="BL15" i="24" s="1"/>
  <c r="BM15" i="24" s="1"/>
  <c r="BR15" i="24"/>
  <c r="BG102" i="24"/>
  <c r="BL102" i="24" s="1"/>
  <c r="BM102" i="24" s="1"/>
  <c r="BR102" i="24"/>
  <c r="BG48" i="24"/>
  <c r="BL48" i="24" s="1"/>
  <c r="BM48" i="24" s="1"/>
  <c r="BR48" i="24"/>
  <c r="BG93" i="24"/>
  <c r="BL93" i="24" s="1"/>
  <c r="BM93" i="24" s="1"/>
  <c r="BR93" i="24"/>
  <c r="BR37" i="24"/>
  <c r="BG37" i="24"/>
  <c r="BL37" i="24" s="1"/>
  <c r="BM37" i="24" s="1"/>
  <c r="BG8" i="24"/>
  <c r="BL8" i="24" s="1"/>
  <c r="BM8" i="24" s="1"/>
  <c r="BR8" i="24"/>
  <c r="BG94" i="24"/>
  <c r="BL94" i="24" s="1"/>
  <c r="BM94" i="24" s="1"/>
  <c r="BR94" i="24"/>
  <c r="BG16" i="24"/>
  <c r="BL16" i="24" s="1"/>
  <c r="BM16" i="24" s="1"/>
  <c r="BR16" i="24"/>
  <c r="BG45" i="24"/>
  <c r="BL45" i="24" s="1"/>
  <c r="BM45" i="24" s="1"/>
  <c r="BR45" i="24"/>
  <c r="BG30" i="24"/>
  <c r="BL30" i="24" s="1"/>
  <c r="BM30" i="24" s="1"/>
  <c r="BR30" i="24"/>
  <c r="BG61" i="24"/>
  <c r="BL61" i="24" s="1"/>
  <c r="BM61" i="24" s="1"/>
  <c r="BR61" i="24"/>
  <c r="BG76" i="24"/>
  <c r="BL76" i="24" s="1"/>
  <c r="BM76" i="24" s="1"/>
  <c r="BR76" i="24"/>
  <c r="BG103" i="24"/>
  <c r="BL103" i="24" s="1"/>
  <c r="BM103" i="24" s="1"/>
  <c r="BR103" i="24"/>
  <c r="BR98" i="24"/>
  <c r="BG98" i="24"/>
  <c r="BL98" i="24" s="1"/>
  <c r="BM98" i="24" s="1"/>
  <c r="BG99" i="24"/>
  <c r="BL99" i="24" s="1"/>
  <c r="BM99" i="24" s="1"/>
  <c r="BR99" i="24"/>
  <c r="BG17" i="24"/>
  <c r="BL17" i="24" s="1"/>
  <c r="BM17" i="24" s="1"/>
  <c r="BR17" i="24"/>
  <c r="BG47" i="24"/>
  <c r="BL47" i="24" s="1"/>
  <c r="BM47" i="24" s="1"/>
  <c r="BR47" i="24"/>
  <c r="BG9" i="24"/>
  <c r="BL9" i="24" s="1"/>
  <c r="BM9" i="24" s="1"/>
  <c r="BR9" i="24"/>
  <c r="BG12" i="24"/>
  <c r="BL12" i="24" s="1"/>
  <c r="BM12" i="24" s="1"/>
  <c r="BR12" i="24"/>
  <c r="BR44" i="24"/>
  <c r="BG44" i="24"/>
  <c r="BL44" i="24" s="1"/>
  <c r="BM44" i="24" s="1"/>
  <c r="BG24" i="24"/>
  <c r="BL24" i="24" s="1"/>
  <c r="BM24" i="24" s="1"/>
  <c r="BR24" i="24"/>
  <c r="BG77" i="24"/>
  <c r="BL77" i="24" s="1"/>
  <c r="BM77" i="24" s="1"/>
  <c r="BR77" i="24"/>
  <c r="BR38" i="24"/>
  <c r="BG38" i="24"/>
  <c r="BL38" i="24" s="1"/>
  <c r="BM38" i="24" s="1"/>
  <c r="BR66" i="24"/>
  <c r="BG66" i="24"/>
  <c r="BL66" i="24" s="1"/>
  <c r="BM66" i="24" s="1"/>
  <c r="BG57" i="24"/>
  <c r="BL57" i="24" s="1"/>
  <c r="BM57" i="24" s="1"/>
  <c r="BR57" i="24"/>
  <c r="BG62" i="24"/>
  <c r="BL62" i="24" s="1"/>
  <c r="BM62" i="24" s="1"/>
  <c r="BR62" i="24"/>
  <c r="BR58" i="24"/>
  <c r="BG58" i="24"/>
  <c r="BL58" i="24" s="1"/>
  <c r="BM58" i="24" s="1"/>
  <c r="BG80" i="24"/>
  <c r="BL80" i="24" s="1"/>
  <c r="BM80" i="24" s="1"/>
  <c r="BR80" i="24"/>
  <c r="BR20" i="24"/>
  <c r="BG20" i="24"/>
  <c r="BL20" i="24" s="1"/>
  <c r="BM20" i="24" s="1"/>
  <c r="BG26" i="24"/>
  <c r="BL26" i="24" s="1"/>
  <c r="BM26" i="24" s="1"/>
  <c r="BR26" i="24"/>
  <c r="BG11" i="24"/>
  <c r="BL11" i="24" s="1"/>
  <c r="BM11" i="24" s="1"/>
  <c r="BR11" i="24"/>
  <c r="BG39" i="24"/>
  <c r="BL39" i="24" s="1"/>
  <c r="BM39" i="24" s="1"/>
  <c r="BR39" i="24"/>
  <c r="BG84" i="24"/>
  <c r="BL84" i="24" s="1"/>
  <c r="BM84" i="24" s="1"/>
  <c r="BR84" i="24"/>
  <c r="BG67" i="24"/>
  <c r="BL67" i="24" s="1"/>
  <c r="BM67" i="24" s="1"/>
  <c r="BR67" i="24"/>
  <c r="BG75" i="24"/>
  <c r="BL75" i="24" s="1"/>
  <c r="BM75" i="24" s="1"/>
  <c r="BR75" i="24"/>
  <c r="BG52" i="24"/>
  <c r="BL52" i="24" s="1"/>
  <c r="BM52" i="24" s="1"/>
  <c r="BR52" i="24"/>
  <c r="BR90" i="24"/>
  <c r="BG90" i="24"/>
  <c r="BL90" i="24" s="1"/>
  <c r="BM90" i="24" s="1"/>
  <c r="BG6" i="24"/>
  <c r="BL6" i="24" s="1"/>
  <c r="BM6" i="24" s="1"/>
  <c r="BR6" i="24"/>
  <c r="BG7" i="24"/>
  <c r="BL7" i="24" s="1"/>
  <c r="BM7" i="24" s="1"/>
  <c r="BR7" i="24"/>
  <c r="B167" i="2"/>
  <c r="C44" i="16" s="1"/>
  <c r="CA92" i="25" l="1"/>
  <c r="CE92" i="25"/>
  <c r="CA181" i="24"/>
  <c r="CE181" i="24"/>
  <c r="CA80" i="25"/>
  <c r="CE80" i="25"/>
  <c r="CA206" i="24"/>
  <c r="CE206" i="24"/>
  <c r="CA95" i="24"/>
  <c r="CE95" i="24"/>
  <c r="CA95" i="25"/>
  <c r="CE95" i="25"/>
  <c r="CA85" i="25"/>
  <c r="CE85" i="25"/>
  <c r="CA155" i="24"/>
  <c r="CE155" i="24"/>
  <c r="CE89" i="25"/>
  <c r="CA208" i="24"/>
  <c r="CE208" i="24"/>
  <c r="CA41" i="24"/>
  <c r="CE41" i="24"/>
  <c r="CA182" i="24"/>
  <c r="CE182" i="24"/>
  <c r="CA165" i="24"/>
  <c r="CE165" i="24"/>
  <c r="CA159" i="24"/>
  <c r="CE159" i="24"/>
  <c r="CA91" i="24"/>
  <c r="CE91" i="24"/>
  <c r="CA50" i="25"/>
  <c r="CE50" i="25"/>
  <c r="CA193" i="24"/>
  <c r="CE193" i="24"/>
  <c r="CA188" i="24"/>
  <c r="CE188" i="24"/>
  <c r="CA29" i="25"/>
  <c r="CE29" i="25"/>
  <c r="CA29" i="24"/>
  <c r="CE29" i="24"/>
  <c r="CA59" i="24"/>
  <c r="CE59" i="24"/>
  <c r="CA141" i="24"/>
  <c r="CE141" i="24"/>
  <c r="CA59" i="25"/>
  <c r="CE59" i="25"/>
  <c r="CA97" i="25"/>
  <c r="CE97" i="25"/>
  <c r="CA119" i="24"/>
  <c r="CE119" i="24"/>
  <c r="CA14" i="24"/>
  <c r="CE14" i="24"/>
  <c r="CA14" i="25"/>
  <c r="CE14" i="25"/>
  <c r="CA13" i="25"/>
  <c r="CE13" i="25"/>
  <c r="CA81" i="24"/>
  <c r="CE81" i="24"/>
  <c r="CA81" i="25"/>
  <c r="CE81" i="25"/>
  <c r="CA57" i="25"/>
  <c r="CE57" i="25"/>
  <c r="CA48" i="25"/>
  <c r="CE48" i="25"/>
  <c r="CA73" i="24"/>
  <c r="CE73" i="24"/>
  <c r="CA88" i="25"/>
  <c r="CE88" i="25"/>
  <c r="BX5" i="25"/>
  <c r="BZ5" i="25" s="1"/>
  <c r="CA5" i="25" s="1"/>
  <c r="BX49" i="24"/>
  <c r="BZ49" i="24" s="1"/>
  <c r="CA49" i="24" s="1"/>
  <c r="BX33" i="24"/>
  <c r="BZ33" i="24" s="1"/>
  <c r="CA33" i="24" s="1"/>
  <c r="BX65" i="24"/>
  <c r="BZ65" i="24" s="1"/>
  <c r="CA65" i="24" s="1"/>
  <c r="BX27" i="24"/>
  <c r="BZ27" i="24" s="1"/>
  <c r="CA27" i="24" s="1"/>
  <c r="BX86" i="24"/>
  <c r="BZ86" i="24" s="1"/>
  <c r="CA86" i="24" s="1"/>
  <c r="BX23" i="24"/>
  <c r="BZ23" i="24" s="1"/>
  <c r="CA23" i="24" s="1"/>
  <c r="BX64" i="24"/>
  <c r="BZ64" i="24" s="1"/>
  <c r="CA64" i="24" s="1"/>
  <c r="BX88" i="24"/>
  <c r="BZ88" i="24" s="1"/>
  <c r="BX97" i="24"/>
  <c r="BZ97" i="24" s="1"/>
  <c r="BU7" i="24"/>
  <c r="BW7" i="24" s="1"/>
  <c r="BU75" i="24"/>
  <c r="BW75" i="24" s="1"/>
  <c r="BU84" i="24"/>
  <c r="BW84" i="24" s="1"/>
  <c r="BU11" i="24"/>
  <c r="BW11" i="24" s="1"/>
  <c r="BU57" i="24"/>
  <c r="BW57" i="24" s="1"/>
  <c r="BU24" i="24"/>
  <c r="BW24" i="24" s="1"/>
  <c r="BU12" i="24"/>
  <c r="BW12" i="24" s="1"/>
  <c r="BU47" i="24"/>
  <c r="BW47" i="24" s="1"/>
  <c r="BU99" i="24"/>
  <c r="BW99" i="24" s="1"/>
  <c r="BU103" i="24"/>
  <c r="BW103" i="24" s="1"/>
  <c r="BU61" i="24"/>
  <c r="BW61" i="24" s="1"/>
  <c r="BU45" i="24"/>
  <c r="BW45" i="24" s="1"/>
  <c r="BU94" i="24"/>
  <c r="BW94" i="24" s="1"/>
  <c r="BU48" i="24"/>
  <c r="BW48" i="24" s="1"/>
  <c r="BU15" i="24"/>
  <c r="BW15" i="24" s="1"/>
  <c r="BU71" i="24"/>
  <c r="BW71" i="24" s="1"/>
  <c r="BU44" i="24"/>
  <c r="BU98" i="24"/>
  <c r="BW98" i="24" s="1"/>
  <c r="BU20" i="24"/>
  <c r="BW20" i="24" s="1"/>
  <c r="BU58" i="24"/>
  <c r="BW58" i="24" s="1"/>
  <c r="BU38" i="24"/>
  <c r="BW38" i="24" s="1"/>
  <c r="BU37" i="24"/>
  <c r="BW37" i="24" s="1"/>
  <c r="BU66" i="24"/>
  <c r="BW66" i="24" s="1"/>
  <c r="BU90" i="24"/>
  <c r="BW90" i="24" s="1"/>
  <c r="BU6" i="24"/>
  <c r="BW6" i="24" s="1"/>
  <c r="BU52" i="24"/>
  <c r="BW52" i="24" s="1"/>
  <c r="BU67" i="24"/>
  <c r="BW67" i="24" s="1"/>
  <c r="BU39" i="24"/>
  <c r="BW39" i="24" s="1"/>
  <c r="BU26" i="24"/>
  <c r="BW26" i="24" s="1"/>
  <c r="BU80" i="24"/>
  <c r="BW80" i="24" s="1"/>
  <c r="BU62" i="24"/>
  <c r="BW62" i="24" s="1"/>
  <c r="BU77" i="24"/>
  <c r="BW77" i="24" s="1"/>
  <c r="BU9" i="24"/>
  <c r="BW9" i="24" s="1"/>
  <c r="BU17" i="24"/>
  <c r="BW17" i="24" s="1"/>
  <c r="BU76" i="24"/>
  <c r="BW76" i="24" s="1"/>
  <c r="BU30" i="24"/>
  <c r="BW30" i="24" s="1"/>
  <c r="BU16" i="24"/>
  <c r="BW16" i="24" s="1"/>
  <c r="BU8" i="24"/>
  <c r="BW8" i="24" s="1"/>
  <c r="BU93" i="24"/>
  <c r="BW93" i="24" s="1"/>
  <c r="BU102" i="24"/>
  <c r="BW102" i="24" s="1"/>
  <c r="BU13" i="24"/>
  <c r="BW13" i="24" s="1"/>
  <c r="CA167" i="24"/>
  <c r="CE167" i="24"/>
  <c r="CA172" i="24"/>
  <c r="CE172" i="24"/>
  <c r="CA176" i="24"/>
  <c r="CE176" i="24"/>
  <c r="CA195" i="24"/>
  <c r="CE195" i="24"/>
  <c r="CA191" i="24"/>
  <c r="CE191" i="24"/>
  <c r="CA203" i="24"/>
  <c r="CE203" i="24"/>
  <c r="CA192" i="24"/>
  <c r="CE192" i="24"/>
  <c r="CA169" i="24"/>
  <c r="CE169" i="24"/>
  <c r="B254" i="2"/>
  <c r="CA149" i="24"/>
  <c r="CE149" i="24"/>
  <c r="CA210" i="24"/>
  <c r="CE210" i="24"/>
  <c r="CA194" i="24"/>
  <c r="CE194" i="24"/>
  <c r="CA209" i="24"/>
  <c r="CE209" i="24"/>
  <c r="CA199" i="24"/>
  <c r="CE199" i="24"/>
  <c r="CE211" i="25"/>
  <c r="CA168" i="24"/>
  <c r="CE168" i="24"/>
  <c r="B233" i="2"/>
  <c r="D44" i="16" s="1"/>
  <c r="E33" i="1"/>
  <c r="A233" i="2"/>
  <c r="CA97" i="24" l="1"/>
  <c r="CE97" i="24"/>
  <c r="CA88" i="24"/>
  <c r="CE88" i="24"/>
  <c r="BX44" i="24"/>
  <c r="BZ44" i="24" s="1"/>
  <c r="CA44" i="24" s="1"/>
  <c r="BW44" i="24"/>
  <c r="BX76" i="24"/>
  <c r="BZ76" i="24" s="1"/>
  <c r="CA76" i="24" s="1"/>
  <c r="BX9" i="24"/>
  <c r="BZ9" i="24" s="1"/>
  <c r="CA9" i="24" s="1"/>
  <c r="BX62" i="24"/>
  <c r="BZ62" i="24" s="1"/>
  <c r="BX26" i="24"/>
  <c r="BZ26" i="24" s="1"/>
  <c r="CA26" i="24" s="1"/>
  <c r="BX67" i="24"/>
  <c r="BZ67" i="24" s="1"/>
  <c r="CA67" i="24" s="1"/>
  <c r="BX6" i="24"/>
  <c r="BZ6" i="24" s="1"/>
  <c r="CA6" i="24" s="1"/>
  <c r="BX66" i="24"/>
  <c r="BZ66" i="24" s="1"/>
  <c r="CA66" i="24" s="1"/>
  <c r="BX38" i="24"/>
  <c r="BZ38" i="24" s="1"/>
  <c r="CA38" i="24" s="1"/>
  <c r="BX20" i="24"/>
  <c r="BZ20" i="24" s="1"/>
  <c r="CA20" i="24" s="1"/>
  <c r="BX61" i="24"/>
  <c r="BZ61" i="24" s="1"/>
  <c r="BX99" i="24"/>
  <c r="BZ99" i="24" s="1"/>
  <c r="CA99" i="24" s="1"/>
  <c r="BX12" i="24"/>
  <c r="BZ12" i="24" s="1"/>
  <c r="CA12" i="24" s="1"/>
  <c r="BX57" i="24"/>
  <c r="BZ57" i="24" s="1"/>
  <c r="BX84" i="24"/>
  <c r="BZ84" i="24" s="1"/>
  <c r="BX7" i="24"/>
  <c r="BZ7" i="24" s="1"/>
  <c r="CA7" i="24" s="1"/>
  <c r="BX30" i="24"/>
  <c r="BZ30" i="24" s="1"/>
  <c r="CA30" i="24" s="1"/>
  <c r="BX17" i="24"/>
  <c r="BZ17" i="24" s="1"/>
  <c r="CA17" i="24" s="1"/>
  <c r="BX15" i="24"/>
  <c r="BZ15" i="24" s="1"/>
  <c r="CA15" i="24" s="1"/>
  <c r="B256" i="2" s="1"/>
  <c r="BX94" i="24"/>
  <c r="BZ94" i="24" s="1"/>
  <c r="CA94" i="24" s="1"/>
  <c r="BX8" i="24"/>
  <c r="BZ8" i="24" s="1"/>
  <c r="CA8" i="24" s="1"/>
  <c r="BX102" i="24"/>
  <c r="BZ102" i="24" s="1"/>
  <c r="BX77" i="24"/>
  <c r="BZ77" i="24" s="1"/>
  <c r="CA77" i="24" s="1"/>
  <c r="BX80" i="24"/>
  <c r="BZ80" i="24" s="1"/>
  <c r="BX90" i="24"/>
  <c r="BZ90" i="24" s="1"/>
  <c r="CA90" i="24" s="1"/>
  <c r="BX37" i="24"/>
  <c r="BZ37" i="24" s="1"/>
  <c r="BX58" i="24"/>
  <c r="BZ58" i="24" s="1"/>
  <c r="CA58" i="24" s="1"/>
  <c r="BX45" i="24"/>
  <c r="BZ45" i="24" s="1"/>
  <c r="BX24" i="24"/>
  <c r="BZ24" i="24" s="1"/>
  <c r="CA24" i="24" s="1"/>
  <c r="BX75" i="24"/>
  <c r="BZ75" i="24" s="1"/>
  <c r="CA75" i="24" s="1"/>
  <c r="BX13" i="24"/>
  <c r="BZ13" i="24" s="1"/>
  <c r="BX93" i="24"/>
  <c r="BZ93" i="24" s="1"/>
  <c r="CA93" i="24" s="1"/>
  <c r="BX16" i="24"/>
  <c r="BZ16" i="24" s="1"/>
  <c r="CA16" i="24" s="1"/>
  <c r="BX39" i="24"/>
  <c r="BZ39" i="24" s="1"/>
  <c r="CA39" i="24" s="1"/>
  <c r="BX52" i="24"/>
  <c r="BZ52" i="24" s="1"/>
  <c r="CA52" i="24" s="1"/>
  <c r="BX98" i="24"/>
  <c r="BZ98" i="24" s="1"/>
  <c r="CA98" i="24" s="1"/>
  <c r="BX71" i="24"/>
  <c r="BZ71" i="24" s="1"/>
  <c r="CA71" i="24" s="1"/>
  <c r="BX48" i="24"/>
  <c r="BZ48" i="24" s="1"/>
  <c r="BX103" i="24"/>
  <c r="BZ103" i="24" s="1"/>
  <c r="CA103" i="24" s="1"/>
  <c r="BX47" i="24"/>
  <c r="BZ47" i="24" s="1"/>
  <c r="CA47" i="24" s="1"/>
  <c r="BX11" i="24"/>
  <c r="BZ11" i="24" s="1"/>
  <c r="CA11" i="24" s="1"/>
  <c r="CE94" i="24"/>
  <c r="CE93" i="24"/>
  <c r="CE47" i="24"/>
  <c r="CE98" i="24"/>
  <c r="CE20" i="24"/>
  <c r="CF211" i="24"/>
  <c r="L15" i="1" s="1"/>
  <c r="CE67" i="24"/>
  <c r="CA102" i="24" l="1"/>
  <c r="CE102" i="24"/>
  <c r="CA80" i="24"/>
  <c r="CE80" i="24"/>
  <c r="CA37" i="24"/>
  <c r="CE37" i="24"/>
  <c r="CA62" i="24"/>
  <c r="CE62" i="24"/>
  <c r="CA13" i="24"/>
  <c r="CE13" i="24"/>
  <c r="CA57" i="24"/>
  <c r="CE57" i="24"/>
  <c r="CA48" i="24"/>
  <c r="CE48" i="24"/>
  <c r="CA61" i="24"/>
  <c r="CE61" i="24"/>
  <c r="CA84" i="24"/>
  <c r="CE84" i="24"/>
  <c r="CE45" i="24"/>
  <c r="CA45" i="24"/>
</calcChain>
</file>

<file path=xl/comments1.xml><?xml version="1.0" encoding="utf-8"?>
<comments xmlns="http://schemas.openxmlformats.org/spreadsheetml/2006/main">
  <authors>
    <author>Timothy Hegarty</author>
    <author>Hegarty, Timothy</author>
  </authors>
  <commentList>
    <comment ref="A3" authorId="0">
      <text>
        <r>
          <rPr>
            <b/>
            <sz val="11"/>
            <color indexed="10"/>
            <rFont val="Tahoma"/>
            <family val="2"/>
          </rPr>
          <t>Welcome to the LM5180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LM5180 low I</t>
        </r>
        <r>
          <rPr>
            <b/>
            <vertAlign val="subscript"/>
            <sz val="9"/>
            <color indexed="81"/>
            <rFont val="Tahoma"/>
            <family val="2"/>
          </rPr>
          <t>Q</t>
        </r>
        <r>
          <rPr>
            <b/>
            <sz val="9"/>
            <color indexed="81"/>
            <rFont val="Tahoma"/>
            <family val="2"/>
          </rPr>
          <t xml:space="preserve"> PSR flyback converter</t>
        </r>
        <r>
          <rPr>
            <sz val="9"/>
            <color indexed="81"/>
            <rFont val="Tahoma"/>
            <family val="2"/>
          </rPr>
          <t xml:space="preserve">. As such, the user can expeditiously arrive at an optimized design by virtue of the following:
- Select transformer parameters including turns ratio and mag inductance
- Determine input and output capacitances for specified ripple requirements (1% Vout and 5% Vin)
- Select components for feedback, soft-start, input UVLO, and temperature compensation
- Advise componnets (usually optional) for SW voltage clamp and and flyback diode snubber
- Optimize the design using efficiency and solution size as key performance metrics
- Inspect converter efficiency and switching frequency over load and line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u/>
            <sz val="9"/>
            <color indexed="12"/>
            <rFont val="Tahoma"/>
            <family val="2"/>
          </rPr>
          <t>http://www.ti.com/widevin/</t>
        </r>
        <r>
          <rPr>
            <sz val="9"/>
            <color indexed="81"/>
            <rFont val="Tahoma"/>
            <family val="2"/>
          </rPr>
          <t xml:space="preserve">
</t>
        </r>
        <r>
          <rPr>
            <b/>
            <sz val="9"/>
            <color indexed="81"/>
            <rFont val="Tahoma"/>
            <family val="2"/>
          </rPr>
          <t xml:space="preserve">
Rev 6.0, Timothy Hegarty, Texas Instruments, Inc.</t>
        </r>
      </text>
    </comment>
    <comment ref="U3" authorId="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LM5180 product datasheet and EVM user's guide for more details.
</t>
        </r>
        <r>
          <rPr>
            <b/>
            <sz val="9"/>
            <color indexed="81"/>
            <rFont val="Tahoma"/>
            <family val="2"/>
          </rPr>
          <t>Rev 6.0, Timothy Hegarty, Texas Instruments, Inc.</t>
        </r>
      </text>
    </comment>
    <comment ref="F6" authorId="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LM5180 input voltage operating range is 4.5V to 65V.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65V</t>
        </r>
        <r>
          <rPr>
            <sz val="9"/>
            <color indexed="81"/>
            <rFont val="Tahoma"/>
            <family val="2"/>
          </rPr>
          <t xml:space="preserve">
-The input voltage is below </t>
        </r>
        <r>
          <rPr>
            <b/>
            <sz val="9"/>
            <color indexed="10"/>
            <rFont val="Tahoma"/>
            <family val="2"/>
          </rPr>
          <t>4.5V</t>
        </r>
      </text>
    </comment>
    <comment ref="M6" authorId="0">
      <text>
        <r>
          <rPr>
            <b/>
            <u/>
            <sz val="9"/>
            <color indexed="81"/>
            <rFont val="Tahoma"/>
            <family val="2"/>
          </rPr>
          <t>Minimum Magnetizing Inductance</t>
        </r>
        <r>
          <rPr>
            <b/>
            <sz val="9"/>
            <color indexed="81"/>
            <rFont val="Tahoma"/>
            <family val="2"/>
          </rPr>
          <t xml:space="preserve">:
</t>
        </r>
        <r>
          <rPr>
            <sz val="9"/>
            <color indexed="81"/>
            <rFont val="Tahoma"/>
            <family val="2"/>
          </rPr>
          <t>The minimum magnetizing inductance is set by the off-time constraint at light loads (in FFM). The requirement is that the magnetizing current must not decrease to zero in less than 500ns.</t>
        </r>
      </text>
    </comment>
    <comment ref="F7" authorId="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LM5180 input voltage operating range is 4.5V to 65V.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65V</t>
        </r>
        <r>
          <rPr>
            <sz val="9"/>
            <color indexed="81"/>
            <rFont val="Tahoma"/>
            <family val="2"/>
          </rPr>
          <t xml:space="preserve">
-The input voltage is below </t>
        </r>
        <r>
          <rPr>
            <b/>
            <sz val="9"/>
            <color indexed="10"/>
            <rFont val="Tahoma"/>
            <family val="2"/>
          </rPr>
          <t>4.5V</t>
        </r>
      </text>
    </comment>
    <comment ref="M7" authorId="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here.
Lower inductance provides an earlier transition from FFM to DCM but pushes out (or entirely eliminates) BCM operation. The main priviso is that the rated output current is achieved at nominal input voltage.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causes the peak current at max input voltage...</t>
        </r>
      </text>
    </comment>
    <comment ref="F8" authorId="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LM5180 input voltage operating range is 4.5V to 65V.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65V</t>
        </r>
        <r>
          <rPr>
            <sz val="9"/>
            <color indexed="81"/>
            <rFont val="Tahoma"/>
            <family val="2"/>
          </rPr>
          <t xml:space="preserve">
-The input voltage is below </t>
        </r>
        <r>
          <rPr>
            <b/>
            <sz val="9"/>
            <color indexed="10"/>
            <rFont val="Tahoma"/>
            <family val="2"/>
          </rPr>
          <t>4.5V</t>
        </r>
      </text>
    </comment>
    <comment ref="M8" authorId="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t>
        </r>
      </text>
    </comment>
    <comment ref="F11" authorId="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text>
    </comment>
    <comment ref="M14" authorId="0">
      <text>
        <r>
          <rPr>
            <b/>
            <u/>
            <sz val="9"/>
            <color indexed="81"/>
            <rFont val="Tahoma"/>
            <family val="2"/>
          </rPr>
          <t>Max Duty Cycle</t>
        </r>
        <r>
          <rPr>
            <b/>
            <sz val="9"/>
            <color indexed="81"/>
            <rFont val="Tahoma"/>
            <family val="2"/>
          </rPr>
          <t xml:space="preserve">:
</t>
        </r>
        <r>
          <rPr>
            <sz val="9"/>
            <color indexed="81"/>
            <rFont val="Tahoma"/>
            <family val="2"/>
          </rPr>
          <t>The max operating duty cycle is preferably kept below 75% to prevent high peak/rms currents in the flyback diode(s) and secondary winding(s).</t>
        </r>
      </text>
    </comment>
    <comment ref="M15" authorId="0">
      <text>
        <r>
          <rPr>
            <b/>
            <u/>
            <sz val="9"/>
            <color indexed="81"/>
            <rFont val="Tahoma"/>
            <family val="2"/>
          </rPr>
          <t>Max Output Current at VIN(min)</t>
        </r>
        <r>
          <rPr>
            <b/>
            <sz val="9"/>
            <color indexed="81"/>
            <rFont val="Tahoma"/>
            <family val="2"/>
          </rPr>
          <t xml:space="preserve">:
</t>
        </r>
        <r>
          <rPr>
            <sz val="9"/>
            <color indexed="81"/>
            <rFont val="Tahoma"/>
            <family val="2"/>
          </rPr>
          <t>The output power is most limited at minimum input operating voltage. Adjust the transformer turns ratio if needed.</t>
        </r>
      </text>
    </comment>
    <comment ref="F16" authorId="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17" authorId="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derated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18" authorId="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0" authorId="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21" authorId="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22" authorId="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8" authorId="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SS/BIAS pin open circuit</t>
        </r>
        <r>
          <rPr>
            <sz val="9"/>
            <color indexed="81"/>
            <rFont val="Tahoma"/>
            <family val="2"/>
          </rPr>
          <t xml:space="preserve"> to provide a soft-start time of </t>
        </r>
        <r>
          <rPr>
            <b/>
            <sz val="9"/>
            <color indexed="81"/>
            <rFont val="Tahoma"/>
            <family val="2"/>
          </rPr>
          <t>6ms</t>
        </r>
        <r>
          <rPr>
            <sz val="9"/>
            <color indexed="81"/>
            <rFont val="Tahoma"/>
            <family val="2"/>
          </rPr>
          <t>.
Connect an auxiliary bias rail to SS/BIAS to reduce quiescent current and bias power dissipation (use a 22nF cap from SS/BIAS to GND).</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34" authorId="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LM5180 input operating voltage range is</t>
        </r>
        <r>
          <rPr>
            <b/>
            <sz val="9"/>
            <color indexed="81"/>
            <rFont val="Tahoma"/>
            <family val="2"/>
          </rPr>
          <t xml:space="preserve"> 4.5V to 65V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65V</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41" authorId="1">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feedback resistor calculation)</t>
        </r>
      </text>
    </comment>
    <comment ref="F42" authorId="1">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43" authorId="0">
      <text>
        <r>
          <rPr>
            <b/>
            <u/>
            <sz val="9"/>
            <color indexed="81"/>
            <rFont val="Tahoma"/>
            <family val="2"/>
          </rPr>
          <t>Estimated Thermal Impedance</t>
        </r>
        <r>
          <rPr>
            <b/>
            <sz val="9"/>
            <color indexed="81"/>
            <rFont val="Tahoma"/>
            <family val="2"/>
          </rPr>
          <t xml:space="preserve">:
</t>
        </r>
        <r>
          <rPr>
            <sz val="9"/>
            <color indexed="81"/>
            <rFont val="Tahoma"/>
            <family val="2"/>
          </rPr>
          <t xml:space="preserve">Enter the LM5180's junction-to-ambient thermal impedance, which relates to PCB copper weight and area for heatsinking, local ariflow rate, and other factors.
</t>
        </r>
      </text>
    </comment>
    <comment ref="F44" authorId="0">
      <text>
        <r>
          <rPr>
            <b/>
            <u/>
            <sz val="9"/>
            <color indexed="81"/>
            <rFont val="Tahoma"/>
            <family val="2"/>
          </rPr>
          <t>Ambient Operating Temperature</t>
        </r>
        <r>
          <rPr>
            <b/>
            <sz val="9"/>
            <color indexed="81"/>
            <rFont val="Tahoma"/>
            <family val="2"/>
          </rPr>
          <t xml:space="preserve">:
</t>
        </r>
        <r>
          <rPr>
            <sz val="9"/>
            <color indexed="81"/>
            <rFont val="Tahoma"/>
            <family val="2"/>
          </rPr>
          <t>Enter the LM5180's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46" authorId="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LM5180's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List>
</comments>
</file>

<file path=xl/comments2.xml><?xml version="1.0" encoding="utf-8"?>
<comments xmlns="http://schemas.openxmlformats.org/spreadsheetml/2006/main">
  <authors>
    <author>Timothy Hegarty</author>
  </authors>
  <commentList>
    <comment ref="A1" authorId="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<sst xmlns="http://schemas.openxmlformats.org/spreadsheetml/2006/main" count="1287" uniqueCount="710">
  <si>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</si>
  <si>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</si>
  <si>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</si>
  <si>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</si>
  <si>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</si>
  <si>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</si>
  <si>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</si>
  <si>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</si>
  <si>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</si>
  <si>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</si>
  <si>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</si>
  <si>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</si>
  <si>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</si>
  <si>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</si>
  <si>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</si>
  <si>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</si>
  <si>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</si>
  <si>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</si>
  <si>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</si>
  <si>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</si>
  <si>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</si>
  <si>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</si>
  <si>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</si>
  <si>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</si>
  <si>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</si>
  <si>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</si>
  <si>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</si>
  <si>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</si>
  <si>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</si>
  <si>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</si>
  <si>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</si>
  <si>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</si>
  <si>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</si>
  <si>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</si>
  <si>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</si>
  <si>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</si>
  <si>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</si>
  <si>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</si>
  <si>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</si>
  <si>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</si>
  <si>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</si>
  <si>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</si>
  <si>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</si>
  <si>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</si>
  <si>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</si>
  <si>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</si>
  <si>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</si>
  <si>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</si>
  <si>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</si>
  <si>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</si>
  <si>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</si>
  <si>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</si>
  <si>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</si>
  <si>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</si>
  <si>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</si>
  <si>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</si>
  <si>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</si>
  <si>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</si>
  <si>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</si>
  <si>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</si>
  <si>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</si>
  <si>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</si>
  <si>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</si>
  <si>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</si>
  <si>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</si>
  <si>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</si>
  <si>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</si>
  <si>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</si>
  <si>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</si>
  <si>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</si>
  <si>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</si>
  <si>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</si>
  <si>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</si>
  <si>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</si>
  <si>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</si>
  <si>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</si>
  <si>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</si>
  <si>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</si>
  <si>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</si>
  <si>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</si>
  <si>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</si>
  <si>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</si>
  <si>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</si>
  <si>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</si>
  <si>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</si>
  <si>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</si>
  <si>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</si>
  <si>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</si>
  <si>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</si>
  <si>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</si>
  <si>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</si>
  <si>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</si>
  <si>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</si>
  <si>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</si>
  <si>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</si>
  <si>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</si>
  <si>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</si>
  <si>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</si>
  <si>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</si>
  <si>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</si>
  <si>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</si>
  <si>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</si>
  <si>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</si>
  <si>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</si>
  <si>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</si>
  <si>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</si>
  <si>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</si>
  <si>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</si>
  <si>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</si>
  <si>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</si>
  <si>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</si>
  <si>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</si>
  <si>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</si>
  <si>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</si>
  <si>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</si>
  <si>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</si>
  <si>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</si>
  <si>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</si>
  <si>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</si>
  <si>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</si>
  <si>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</si>
  <si>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</si>
  <si>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</si>
  <si>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</si>
  <si>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</si>
  <si>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</si>
  <si>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</si>
  <si>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</si>
  <si>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</si>
  <si>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</si>
  <si>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</si>
  <si>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</si>
  <si>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</si>
  <si>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</si>
  <si>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</si>
  <si>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</si>
  <si>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</si>
  <si>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</si>
  <si>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</si>
  <si>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</si>
  <si>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</si>
  <si>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</si>
  <si>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</si>
  <si>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</si>
  <si>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</si>
  <si>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</si>
  <si>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</si>
  <si>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</si>
  <si>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</si>
  <si>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</si>
  <si>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</si>
  <si>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</si>
  <si>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Lf</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</si>
  <si>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</si>
  <si>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</si>
  <si>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</si>
  <si>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</si>
  <si>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</si>
  <si>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</si>
  <si>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</si>
  <si>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</si>
  <si>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</si>
  <si>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</si>
  <si>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</si>
  <si>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</si>
  <si>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</si>
  <si>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</si>
  <si>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</si>
  <si>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</si>
  <si>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</si>
  <si>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</si>
  <si>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</si>
  <si>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</si>
  <si>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</si>
  <si>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</si>
  <si>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</si>
  <si>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</si>
  <si>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</si>
  <si>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</si>
  <si>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</si>
  <si>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</si>
  <si>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</si>
  <si>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</si>
  <si>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</si>
  <si>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</si>
  <si>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</si>
  <si>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</si>
  <si>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</si>
  <si>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</si>
  <si>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</si>
  <si>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</si>
  <si>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</si>
  <si>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</si>
  <si>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</si>
  <si>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</si>
  <si>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</si>
  <si>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</si>
  <si>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</si>
  <si>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</si>
  <si>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</si>
  <si>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</si>
  <si>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</si>
  <si>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</si>
  <si>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</si>
  <si>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</si>
  <si>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</si>
  <si>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</si>
  <si>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</si>
  <si>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</si>
  <si>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</si>
  <si>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</si>
  <si>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</si>
  <si>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</si>
  <si>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</si>
  <si>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</si>
  <si>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</si>
  <si>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</si>
  <si>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</si>
  <si>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</si>
  <si>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</si>
  <si>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</si>
  <si>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</si>
  <si>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</si>
  <si>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</si>
  <si>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</si>
  <si>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</si>
  <si>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</si>
  <si>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</si>
  <si>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</si>
  <si>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</si>
  <si>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</si>
  <si>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</si>
  <si>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</si>
  <si>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</si>
  <si>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</si>
  <si>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</si>
  <si>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</si>
  <si>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</si>
  <si>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</si>
  <si>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</si>
  <si>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</si>
  <si>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</si>
  <si>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</si>
  <si>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</si>
  <si>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</si>
  <si>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</si>
  <si>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</si>
  <si>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</si>
  <si>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</si>
  <si>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</si>
  <si>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</si>
  <si>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</si>
  <si>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</si>
  <si>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</si>
  <si>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</si>
  <si>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</si>
  <si>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</si>
  <si>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</si>
  <si>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</si>
  <si>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</si>
  <si>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</si>
  <si>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</si>
  <si>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</si>
  <si>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</si>
  <si>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</si>
  <si>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</si>
  <si>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</si>
  <si>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</si>
  <si>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</si>
  <si>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</si>
  <si>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Series resistance of body diode</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</si>
  <si>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</si>
  <si>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</si>
  <si>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</si>
  <si>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</si>
  <si>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</si>
  <si>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</si>
  <si>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</si>
  <si>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</si>
  <si>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</si>
  <si>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</si>
  <si>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</si>
  <si>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</si>
  <si>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</si>
  <si>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</si>
  <si>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</si>
  <si>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</si>
  <si>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</si>
  <si>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</si>
  <si>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</si>
  <si>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</si>
  <si>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</si>
  <si>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</si>
  <si>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</si>
  <si>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</si>
  <si>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Lower UVLO Resistor, R</t>
    </r>
    <r>
      <rPr>
        <vertAlign val="subscript"/>
        <sz val="10"/>
        <rFont val="Arial"/>
        <family val="2"/>
      </rPr>
      <t>UV2</t>
    </r>
  </si>
  <si>
    <r>
      <t>VIN</t>
    </r>
    <r>
      <rPr>
        <vertAlign val="subscript"/>
        <sz val="10"/>
        <rFont val="Arial"/>
        <family val="2"/>
      </rPr>
      <t>UVLO_OFF</t>
    </r>
  </si>
  <si>
    <t>Rhys</t>
  </si>
  <si>
    <t>Soft Start</t>
  </si>
  <si>
    <t>Step 3: Input &amp; Output Capacitors</t>
  </si>
  <si>
    <t>PLOT_TYPE</t>
  </si>
  <si>
    <t>FB resistor ref des shown or not?</t>
  </si>
  <si>
    <t>SHORT_ILIM</t>
  </si>
  <si>
    <t>ILIM pin shorted if 240mA selected</t>
  </si>
  <si>
    <t>ILIM resistor needed (60/120/180mA)</t>
  </si>
  <si>
    <t>Show Rt resistor ref des?</t>
  </si>
  <si>
    <r>
      <t xml:space="preserve">Estimated Thermal Impedance, </t>
    </r>
    <r>
      <rPr>
        <b/>
        <sz val="11"/>
        <rFont val="Symbol"/>
        <family val="1"/>
        <charset val="2"/>
      </rPr>
      <t>J</t>
    </r>
    <r>
      <rPr>
        <b/>
        <vertAlign val="subscript"/>
        <sz val="10"/>
        <rFont val="Arial"/>
        <family val="2"/>
      </rPr>
      <t>JA</t>
    </r>
  </si>
  <si>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</si>
  <si>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</si>
  <si>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</si>
  <si>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</si>
  <si>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</si>
  <si>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</si>
  <si>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</si>
  <si>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</si>
  <si>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</si>
  <si>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</si>
  <si>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</si>
  <si>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</si>
  <si>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</si>
  <si>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</si>
  <si>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</si>
  <si>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</si>
  <si>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</si>
  <si>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</si>
  <si>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</si>
  <si>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</si>
  <si>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</si>
  <si>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</si>
  <si>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</si>
  <si>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</si>
  <si>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</si>
  <si>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</si>
  <si>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</si>
  <si>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</si>
  <si>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</si>
  <si>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</si>
  <si>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</si>
  <si>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</si>
  <si>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</si>
  <si>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</si>
  <si>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</si>
  <si>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</si>
  <si>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</si>
  <si>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</si>
  <si>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</si>
  <si>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</si>
  <si>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</si>
  <si>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</si>
  <si>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</si>
  <si>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</si>
  <si>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</si>
  <si>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</si>
  <si>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</si>
  <si>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</si>
  <si>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</si>
  <si>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</si>
  <si>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</si>
  <si>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t>4.0 x 4.0</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</si>
  <si>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</si>
  <si>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</si>
  <si>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</si>
  <si>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</si>
  <si>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t>** Appropriately derate effective input and output capacitances for applied voltage and temperature, particularly with ceramics **</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</si>
  <si>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</si>
  <si>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</si>
  <si>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</si>
  <si>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</si>
  <si>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</si>
  <si>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</si>
  <si>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r>
      <t>LM5180 Power Dissipation at Full Load, P</t>
    </r>
    <r>
      <rPr>
        <vertAlign val="subscript"/>
        <sz val="10"/>
        <rFont val="Arial"/>
        <family val="2"/>
      </rPr>
      <t>D</t>
    </r>
  </si>
  <si>
    <t>YES</t>
  </si>
  <si>
    <t>NO</t>
  </si>
  <si>
    <r>
      <t>Magnetizing Inductance, L</t>
    </r>
    <r>
      <rPr>
        <b/>
        <vertAlign val="subscript"/>
        <sz val="10"/>
        <color theme="1"/>
        <rFont val="Arial"/>
        <family val="2"/>
      </rPr>
      <t>MAG</t>
    </r>
    <r>
      <rPr>
        <b/>
        <sz val="10"/>
        <color theme="1"/>
        <rFont val="Arial"/>
        <family val="2"/>
      </rPr>
      <t xml:space="preserve"> </t>
    </r>
  </si>
  <si>
    <t>Single Output or Dual Outputs</t>
  </si>
  <si>
    <r>
      <t>Input Voltage – Min, V</t>
    </r>
    <r>
      <rPr>
        <b/>
        <vertAlign val="subscript"/>
        <sz val="10"/>
        <color theme="1"/>
        <rFont val="Arial"/>
        <family val="2"/>
      </rPr>
      <t>IN(min)</t>
    </r>
    <r>
      <rPr>
        <b/>
        <sz val="10"/>
        <color theme="1"/>
        <rFont val="Arial"/>
        <family val="2"/>
      </rPr>
      <t xml:space="preserve"> </t>
    </r>
  </si>
  <si>
    <r>
      <t>Input Voltage – Nom, V</t>
    </r>
    <r>
      <rPr>
        <b/>
        <vertAlign val="subscript"/>
        <sz val="10"/>
        <color theme="1"/>
        <rFont val="Arial"/>
        <family val="2"/>
      </rPr>
      <t>IN(nom)</t>
    </r>
  </si>
  <si>
    <r>
      <t>Input Voltage – Max, V</t>
    </r>
    <r>
      <rPr>
        <b/>
        <vertAlign val="subscript"/>
        <sz val="10"/>
        <color theme="1"/>
        <rFont val="Arial"/>
        <family val="2"/>
      </rPr>
      <t>IN(max)</t>
    </r>
  </si>
  <si>
    <r>
      <t>Selected Feedback Resistor, R</t>
    </r>
    <r>
      <rPr>
        <b/>
        <vertAlign val="subscript"/>
        <sz val="10"/>
        <rFont val="Arial"/>
        <family val="2"/>
      </rPr>
      <t>FB</t>
    </r>
  </si>
  <si>
    <t xml:space="preserve">                              LM5180 PSR Flyback Converter Design Tool  </t>
  </si>
  <si>
    <t>Recommended Feedback Resistor</t>
  </si>
  <si>
    <t>Current Hysteresis</t>
  </si>
  <si>
    <t>Current after UVLO (rising)</t>
  </si>
  <si>
    <t>Current before UVLO (rising)</t>
  </si>
  <si>
    <r>
      <t>Upper UVLO Resistor, R</t>
    </r>
    <r>
      <rPr>
        <vertAlign val="subscript"/>
        <sz val="10"/>
        <rFont val="Arial"/>
        <family val="2"/>
      </rPr>
      <t>UV1</t>
    </r>
  </si>
  <si>
    <t>12.1 kΩ</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</si>
  <si>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</si>
  <si>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</si>
  <si>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</si>
  <si>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</si>
  <si>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</si>
  <si>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</si>
  <si>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</si>
  <si>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</si>
  <si>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</si>
  <si>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Step 4: Feedback, Soft-start, TC, UVLO</t>
  </si>
  <si>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</si>
  <si>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</si>
  <si>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</si>
  <si>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</si>
  <si>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</si>
  <si>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</si>
  <si>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</si>
  <si>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</si>
  <si>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</si>
  <si>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</si>
  <si>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</si>
  <si>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</si>
  <si>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</si>
  <si>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</si>
  <si>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</si>
  <si>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</si>
  <si>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</si>
  <si>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</si>
  <si>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</si>
  <si>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</si>
  <si>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</si>
  <si>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</si>
  <si>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</si>
  <si>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</si>
  <si>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</si>
  <si>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</si>
  <si>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</si>
  <si>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</si>
  <si>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</si>
  <si>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</si>
  <si>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</si>
  <si>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</si>
  <si>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</si>
  <si>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</si>
  <si>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</si>
  <si>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</si>
  <si>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</si>
  <si>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</si>
  <si>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</si>
  <si>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</si>
  <si>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</si>
  <si>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</si>
  <si>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</si>
  <si>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</si>
  <si>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</si>
  <si>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</si>
  <si>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</si>
  <si>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</si>
  <si>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</si>
  <si>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</si>
  <si>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</si>
  <si>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</si>
  <si>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</si>
  <si>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</si>
  <si>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</si>
  <si>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</si>
  <si>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</si>
  <si>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</si>
  <si>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</si>
  <si>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</si>
  <si>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</si>
  <si>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</si>
  <si>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</si>
  <si>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</si>
  <si>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</si>
  <si>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</si>
  <si>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</si>
  <si>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</si>
  <si>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</si>
  <si>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</si>
  <si>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</si>
  <si>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</si>
  <si>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</si>
  <si>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</si>
  <si>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</si>
  <si>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</si>
  <si>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</si>
  <si>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</si>
  <si>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</si>
  <si>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</si>
  <si>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</si>
  <si>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</si>
  <si>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</si>
  <si>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</si>
  <si>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</si>
  <si>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</si>
  <si>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</si>
  <si>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</si>
  <si>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</si>
  <si>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</si>
  <si>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</si>
  <si>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</si>
  <si>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</si>
  <si>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</si>
  <si>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</si>
  <si>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</si>
  <si>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</si>
  <si>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</si>
  <si>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LM5180 quiescent current</t>
  </si>
  <si>
    <t>Cout (µF) for 1% ripple</t>
  </si>
  <si>
    <t>Cin (µF) for 10%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</si>
  <si>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</si>
  <si>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</si>
  <si>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</si>
  <si>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</si>
  <si>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</si>
  <si>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</si>
  <si>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</si>
  <si>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</si>
  <si>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</si>
  <si>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</si>
  <si>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</si>
  <si>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</si>
  <si>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</si>
  <si>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</si>
  <si>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Step 5: Power Losses &amp; Thermals</t>
  </si>
  <si>
    <t xml:space="preserve">Resulting Input Voltage Ripple </t>
  </si>
  <si>
    <t>Check Iout-max</t>
  </si>
  <si>
    <t>Iout2</t>
  </si>
  <si>
    <t>Rout2</t>
  </si>
  <si>
    <t>Pout2</t>
  </si>
  <si>
    <t>Load resistance #2</t>
  </si>
  <si>
    <t>Output power #2</t>
  </si>
  <si>
    <t xml:space="preserve">Total Output Power </t>
  </si>
  <si>
    <t>Total power</t>
  </si>
  <si>
    <t>LM5180 Parameters</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</si>
  <si>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</si>
  <si>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</si>
  <si>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</si>
  <si>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</si>
  <si>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</si>
  <si>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</si>
  <si>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</si>
  <si>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</si>
  <si>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</si>
  <si>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</si>
  <si>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</si>
  <si>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</si>
  <si>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</si>
  <si>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</si>
  <si>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</si>
  <si>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</si>
  <si>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</si>
  <si>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</si>
  <si>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t>LM5180</t>
  </si>
  <si>
    <t>WSON-8</t>
  </si>
  <si>
    <r>
      <t>Low I</t>
    </r>
    <r>
      <rPr>
        <b/>
        <vertAlign val="subscript"/>
        <sz val="16"/>
        <rFont val="Arial"/>
        <family val="2"/>
      </rPr>
      <t>Q</t>
    </r>
    <r>
      <rPr>
        <b/>
        <sz val="16"/>
        <rFont val="Arial"/>
        <family val="2"/>
      </rPr>
      <t>, High Efficiency, PSR Flyback Converter BOM</t>
    </r>
  </si>
  <si>
    <r>
      <t>T</t>
    </r>
    <r>
      <rPr>
        <vertAlign val="subscript"/>
        <sz val="10"/>
        <rFont val="Arial"/>
        <family val="2"/>
      </rPr>
      <t>1</t>
    </r>
  </si>
  <si>
    <r>
      <t>R</t>
    </r>
    <r>
      <rPr>
        <vertAlign val="subscript"/>
        <sz val="10"/>
        <rFont val="Arial"/>
        <family val="2"/>
      </rPr>
      <t>FB</t>
    </r>
  </si>
  <si>
    <r>
      <t>LM5180 Junction Temperature at Full Load, T</t>
    </r>
    <r>
      <rPr>
        <vertAlign val="subscript"/>
        <sz val="10"/>
        <rFont val="Arial"/>
        <family val="2"/>
      </rPr>
      <t>J</t>
    </r>
  </si>
  <si>
    <t>Primary Winding DCR</t>
  </si>
  <si>
    <t>FUNCTIONAL</t>
  </si>
  <si>
    <t>BASIC</t>
  </si>
  <si>
    <t>REINFORCED</t>
  </si>
  <si>
    <t>Isolation Grade</t>
  </si>
  <si>
    <t>Output #1</t>
  </si>
  <si>
    <t>Output #2</t>
  </si>
  <si>
    <t>12.1kΩ</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</si>
  <si>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</si>
  <si>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</si>
  <si>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</si>
  <si>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</si>
  <si>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</si>
  <si>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</si>
  <si>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</si>
  <si>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</si>
  <si>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</si>
  <si>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</si>
  <si>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</si>
  <si>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</si>
  <si>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</si>
  <si>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</si>
  <si>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</si>
  <si>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</si>
  <si>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</si>
  <si>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</si>
  <si>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</si>
  <si>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</si>
  <si>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</si>
  <si>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</si>
  <si>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</si>
  <si>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</si>
  <si>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</si>
  <si>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</si>
  <si>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</si>
  <si>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</si>
  <si>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</si>
  <si>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</si>
  <si>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</si>
  <si>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</si>
  <si>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</si>
  <si>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</si>
  <si>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</si>
  <si>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Reference voltage</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</si>
  <si>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</si>
  <si>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</si>
  <si>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</si>
  <si>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</si>
  <si>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</si>
  <si>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</si>
  <si>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</si>
  <si>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</si>
  <si>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</si>
  <si>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</si>
  <si>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</si>
  <si>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</si>
  <si>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</si>
  <si>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</si>
  <si>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</si>
  <si>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</si>
  <si>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</si>
  <si>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</si>
  <si>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</si>
  <si>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</si>
  <si>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</si>
  <si>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</si>
  <si>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</si>
  <si>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</si>
  <si>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</si>
  <si>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</si>
  <si>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</si>
  <si>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</si>
  <si>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</si>
  <si>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</si>
  <si>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</si>
  <si>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</si>
  <si>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</si>
  <si>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</si>
  <si>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</si>
  <si>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</si>
  <si>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</si>
  <si>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</si>
  <si>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r>
      <t>Max Output Power at V</t>
    </r>
    <r>
      <rPr>
        <vertAlign val="subscript"/>
        <sz val="10"/>
        <rFont val="Arial"/>
        <family val="2"/>
      </rPr>
      <t>IN(min)</t>
    </r>
  </si>
  <si>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</si>
  <si>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</si>
  <si>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</si>
  <si>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</si>
  <si>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</si>
  <si>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</si>
  <si>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</si>
  <si>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</si>
  <si>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</si>
  <si>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</si>
  <si>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</si>
  <si>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</si>
  <si>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</si>
  <si>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</si>
  <si>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</si>
  <si>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</si>
  <si>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</si>
  <si>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</si>
  <si>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t>24V</t>
  </si>
  <si>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</si>
  <si>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</si>
  <si>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</si>
  <si>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</si>
  <si>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</si>
  <si>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 Use primary-side RC snubber from SW to VIN to dampen leakage inductance spike ***</t>
  </si>
  <si>
    <t>**** Use flyback diode RC snubber to dampen ringing if needed ****</t>
  </si>
  <si>
    <t>SOD323</t>
  </si>
  <si>
    <t>SOD123</t>
  </si>
  <si>
    <t>SMA</t>
  </si>
  <si>
    <t>Footprint</t>
  </si>
  <si>
    <t>Area</t>
  </si>
  <si>
    <t>Diode Size</t>
  </si>
  <si>
    <r>
      <t>D</t>
    </r>
    <r>
      <rPr>
        <vertAlign val="subscript"/>
        <sz val="10"/>
        <rFont val="Arial"/>
        <family val="2"/>
      </rPr>
      <t>OUT</t>
    </r>
  </si>
  <si>
    <t>5.0 x 2.5</t>
  </si>
  <si>
    <t>3.6 x 1.8</t>
  </si>
  <si>
    <t>2.5 x 1.25</t>
  </si>
  <si>
    <t>SOD523</t>
  </si>
  <si>
    <t>Flyback Diode - forward current rating</t>
  </si>
  <si>
    <t>Flyback Diode - reverse voltage rating</t>
  </si>
  <si>
    <t>***** Use output zener to clamp the output at no load *****</t>
  </si>
  <si>
    <r>
      <t>Flyback Diode Voltage Drop, V</t>
    </r>
    <r>
      <rPr>
        <b/>
        <vertAlign val="subscript"/>
        <sz val="10"/>
        <rFont val="Arial"/>
        <family val="2"/>
      </rPr>
      <t>D(no-load)</t>
    </r>
  </si>
  <si>
    <r>
      <t>Flyback Diode Voltage Drop, V</t>
    </r>
    <r>
      <rPr>
        <b/>
        <vertAlign val="subscript"/>
        <sz val="10"/>
        <rFont val="Arial"/>
        <family val="2"/>
      </rPr>
      <t>D(full-load)</t>
    </r>
  </si>
  <si>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</si>
  <si>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</si>
  <si>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</si>
  <si>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</si>
  <si>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</si>
  <si>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</si>
  <si>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</si>
  <si>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</si>
  <si>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</si>
  <si>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</si>
  <si>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</si>
  <si>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</si>
  <si>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</si>
  <si>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</si>
  <si>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</si>
  <si>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</si>
  <si>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</si>
  <si>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</si>
  <si>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Minimum Magnetizing Inductance</t>
  </si>
  <si>
    <t>Lmin</t>
  </si>
  <si>
    <t>Lleak</t>
  </si>
  <si>
    <t>nH</t>
  </si>
  <si>
    <t>Pri-Sec Leakage Inductance</t>
  </si>
  <si>
    <t>LM5180EVM-DUAL PCB design, 2.1" x 1.5" (55mm x 38mm)</t>
  </si>
  <si>
    <t xml:space="preserve"> LM5180 PSR Flyback Converter Design Tool</t>
  </si>
  <si>
    <t>Check Fsw at  Iout-max</t>
  </si>
  <si>
    <t>Check Pout-max at  Iout-max</t>
  </si>
  <si>
    <t>LM5180EVM-S05 PCB Design, 2" x 1.4" (50mm x 35mm)</t>
  </si>
  <si>
    <t>P-Transforer (W)</t>
  </si>
  <si>
    <t>P-Trans-Total (mW)</t>
  </si>
  <si>
    <t>P-IC-Total (W)</t>
  </si>
  <si>
    <t>RdsonTC</t>
  </si>
  <si>
    <t>ppm/°C</t>
  </si>
  <si>
    <t>Drain to Source Resistance Temp Co</t>
  </si>
  <si>
    <t>IC thermal impedance</t>
  </si>
  <si>
    <t>ThetaJA</t>
  </si>
  <si>
    <t>P-trans (W)</t>
  </si>
  <si>
    <t>* Choose a transformer with saturation current rating higher than the max peak current limit setting (1.65A) for all operating temperatures *</t>
  </si>
  <si>
    <r>
      <t>IC, LM5180, PSR Flyback Converter, 4.5V</t>
    </r>
    <r>
      <rPr>
        <b/>
        <sz val="10"/>
        <rFont val="Calibri"/>
        <family val="2"/>
      </rPr>
      <t>–65</t>
    </r>
    <r>
      <rPr>
        <b/>
        <sz val="10"/>
        <rFont val="Arial"/>
        <family val="2"/>
      </rPr>
      <t>V Input</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</si>
</sst>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s>
  <fonts count="82" x14ac:knownFonts="1">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sz val="36"/>
      <color rgb="FFFF0000"/>
      <name val="Arial"/>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1"/>
      <name val="Symbol"/>
      <family val="1"/>
      <charset val="2"/>
    </font>
    <font>
      <b/>
      <sz val="10"/>
      <color rgb="FF0000FF"/>
      <name val="Arial"/>
      <family val="2"/>
    </font>
    <font>
      <u/>
      <sz val="10"/>
      <color theme="0" tint="-0.499984740745262"/>
      <name val="Arial"/>
      <family val="2"/>
    </font>
    <font>
      <vertAlign val="subscript"/>
      <sz val="9"/>
      <color indexed="81"/>
      <name val="Tahoma"/>
      <family val="2"/>
    </font>
    <font>
      <b/>
      <vertAlign val="subscript"/>
      <sz val="16"/>
      <name val="Arial"/>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s>
  <fills count="29">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s>
  <borders count="7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71" fillId="0" borderId="0" applyFont="0" applyFill="0" applyBorder="0" applyAlignment="0" applyProtection="0"/>
  </cellStyleXfs>
  <cellXfs count="699">
    <xf numFmtId="0" fontId="0" fillId="0" borderId="0" xfId="0"/>
    <xf numFmtId="0" fontId="76" fillId="8" borderId="0" xfId="4" applyFont="1" applyFill="1" applyAlignment="1">
      <alignment horizontal="right" wrapText="1"/>
    </xf>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7" fillId="0" borderId="0" xfId="0" applyFont="1" applyBorder="1"/>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65"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2"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5" fillId="8" borderId="0" xfId="0" applyFont="1" applyFill="1" applyBorder="1" applyProtection="1"/>
    <xf numFmtId="0" fontId="46" fillId="8" borderId="0" xfId="0" applyFont="1" applyFill="1" applyBorder="1" applyProtection="1"/>
    <xf numFmtId="0" fontId="47" fillId="8" borderId="0" xfId="0" applyFont="1" applyFill="1" applyBorder="1" applyAlignment="1" applyProtection="1"/>
    <xf numFmtId="0" fontId="4" fillId="8" borderId="0" xfId="0" applyFont="1" applyFill="1" applyBorder="1" applyAlignment="1" applyProtection="1"/>
    <xf numFmtId="167" fontId="4" fillId="8" borderId="0" xfId="0" applyNumberFormat="1" applyFont="1" applyFill="1" applyBorder="1" applyAlignment="1" applyProtection="1"/>
    <xf numFmtId="0" fontId="47"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4" fillId="8" borderId="0" xfId="0" applyNumberFormat="1" applyFont="1" applyFill="1" applyBorder="1" applyAlignment="1" applyProtection="1">
      <alignment horizontal="right"/>
    </xf>
    <xf numFmtId="0" fontId="50"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3"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170" fontId="3" fillId="17" borderId="11" xfId="4" applyNumberFormat="1" applyFill="1" applyBorder="1" applyAlignment="1">
      <alignment horizontal="center" vertical="center"/>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3" fillId="8" borderId="2" xfId="0" applyFont="1" applyFill="1" applyBorder="1" applyAlignment="1" applyProtection="1">
      <alignment horizontal="right" vertical="center"/>
    </xf>
    <xf numFmtId="0" fontId="50" fillId="8" borderId="2" xfId="0" applyFont="1" applyFill="1" applyBorder="1" applyAlignment="1" applyProtection="1">
      <alignment horizontal="right" vertical="center"/>
    </xf>
    <xf numFmtId="0" fontId="4" fillId="15" borderId="2" xfId="0" applyNumberFormat="1" applyFont="1" applyFill="1" applyBorder="1" applyAlignment="1" applyProtection="1">
      <alignment vertical="center"/>
      <protection locked="0"/>
    </xf>
    <xf numFmtId="0" fontId="50"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50"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66"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0" fontId="7" fillId="0" borderId="25" xfId="0" applyFont="1" applyFill="1" applyBorder="1"/>
    <xf numFmtId="167"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applyBorder="1"/>
    <xf numFmtId="0" fontId="3" fillId="0" borderId="49" xfId="0" applyFont="1" applyBorder="1"/>
    <xf numFmtId="166" fontId="3" fillId="0" borderId="50" xfId="0" applyNumberFormat="1" applyFont="1" applyFill="1" applyBorder="1"/>
    <xf numFmtId="11" fontId="7" fillId="0" borderId="50" xfId="0" applyNumberFormat="1" applyFont="1" applyBorder="1"/>
    <xf numFmtId="0" fontId="53" fillId="0" borderId="50" xfId="0" applyFont="1" applyBorder="1"/>
    <xf numFmtId="0" fontId="49" fillId="0" borderId="0" xfId="0" applyFont="1"/>
    <xf numFmtId="0" fontId="0" fillId="0" borderId="39" xfId="0" applyBorder="1"/>
    <xf numFmtId="0" fontId="50" fillId="0" borderId="0" xfId="0" applyFont="1"/>
    <xf numFmtId="0" fontId="48" fillId="0" borderId="0" xfId="0" applyFont="1" applyFill="1" applyBorder="1"/>
    <xf numFmtId="165" fontId="7" fillId="10" borderId="0" xfId="0" applyNumberFormat="1" applyFont="1" applyFill="1" applyBorder="1"/>
    <xf numFmtId="0" fontId="0" fillId="20" borderId="0" xfId="0" applyFill="1" applyBorder="1" applyAlignment="1">
      <alignment horizontal="right"/>
    </xf>
    <xf numFmtId="166"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66"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76" fontId="0" fillId="10" borderId="0" xfId="0" applyNumberFormat="1" applyFill="1" applyBorder="1"/>
    <xf numFmtId="176"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4" fillId="3" borderId="43" xfId="4" applyFont="1" applyFill="1" applyBorder="1" applyAlignment="1">
      <alignment horizontal="center" vertical="center"/>
    </xf>
    <xf numFmtId="0" fontId="54" fillId="3" borderId="44" xfId="4" applyFont="1" applyFill="1" applyBorder="1" applyAlignment="1">
      <alignment horizontal="center" vertical="center"/>
    </xf>
    <xf numFmtId="11" fontId="49" fillId="0" borderId="0" xfId="0" applyNumberFormat="1" applyFont="1"/>
    <xf numFmtId="0" fontId="59"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66"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65"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1" fillId="8" borderId="0" xfId="0" applyFont="1" applyFill="1" applyBorder="1" applyAlignment="1" applyProtection="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65" fontId="3" fillId="4" borderId="52" xfId="4" applyNumberFormat="1" applyFill="1" applyBorder="1"/>
    <xf numFmtId="165" fontId="4" fillId="4" borderId="49" xfId="4" applyNumberFormat="1" applyFont="1" applyFill="1" applyBorder="1" applyAlignment="1"/>
    <xf numFmtId="165" fontId="7" fillId="4" borderId="50" xfId="4" applyNumberFormat="1" applyFont="1" applyFill="1" applyBorder="1" applyAlignment="1"/>
    <xf numFmtId="0" fontId="7" fillId="4" borderId="50" xfId="4" applyFont="1" applyFill="1" applyBorder="1" applyAlignment="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5" fontId="4" fillId="4" borderId="49" xfId="4" applyNumberFormat="1" applyFont="1" applyFill="1" applyBorder="1"/>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3"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66"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2"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3" fillId="0" borderId="15" xfId="4" applyFont="1" applyBorder="1"/>
    <xf numFmtId="0" fontId="3" fillId="6" borderId="8" xfId="4" applyFont="1" applyFill="1" applyBorder="1"/>
    <xf numFmtId="176" fontId="3" fillId="0" borderId="47" xfId="4" applyNumberFormat="1" applyFont="1" applyFill="1" applyBorder="1"/>
    <xf numFmtId="175"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76"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67" fontId="58" fillId="0" borderId="0" xfId="4" applyNumberFormat="1" applyFont="1"/>
    <xf numFmtId="0" fontId="58" fillId="0" borderId="0" xfId="4" applyFont="1"/>
    <xf numFmtId="0" fontId="48" fillId="0" borderId="0" xfId="4" applyNumberFormat="1" applyFont="1"/>
    <xf numFmtId="166" fontId="3" fillId="0" borderId="0" xfId="4" applyNumberFormat="1" applyFont="1"/>
    <xf numFmtId="165"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65" fontId="48" fillId="0" borderId="0" xfId="4" applyNumberFormat="1" applyFont="1"/>
    <xf numFmtId="1" fontId="4" fillId="0" borderId="0" xfId="4" applyNumberFormat="1" applyFont="1"/>
    <xf numFmtId="165"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66" fontId="7" fillId="4" borderId="50" xfId="4" applyNumberFormat="1" applyFont="1" applyFill="1" applyBorder="1" applyAlignment="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applyAlignment="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67" fontId="3" fillId="2" borderId="11" xfId="4" applyNumberFormat="1" applyFont="1" applyFill="1" applyBorder="1" applyProtection="1">
      <protection locked="0"/>
    </xf>
    <xf numFmtId="1" fontId="3" fillId="0" borderId="47" xfId="4" applyNumberFormat="1" applyFont="1" applyFill="1" applyBorder="1"/>
    <xf numFmtId="165"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4" fillId="0" borderId="0" xfId="0" applyFont="1" applyFill="1"/>
    <xf numFmtId="0" fontId="0" fillId="0" borderId="0" xfId="0" applyFill="1" applyAlignment="1"/>
    <xf numFmtId="0" fontId="15" fillId="0" borderId="0" xfId="0" applyFont="1" applyFill="1"/>
    <xf numFmtId="0" fontId="62"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9"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1" fontId="50" fillId="15" borderId="0" xfId="0" applyNumberFormat="1" applyFont="1" applyFill="1" applyBorder="1" applyAlignment="1" applyProtection="1">
      <alignment horizontal="right"/>
      <protection locked="0"/>
    </xf>
    <xf numFmtId="0" fontId="48" fillId="0" borderId="0" xfId="0" applyFont="1" applyBorder="1" applyAlignment="1">
      <alignment horizontal="left"/>
    </xf>
    <xf numFmtId="0" fontId="48"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8" fillId="0" borderId="0" xfId="4" applyFont="1" applyBorder="1" applyAlignment="1">
      <alignment horizontal="left"/>
    </xf>
    <xf numFmtId="0" fontId="48"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6"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2"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7" fillId="24" borderId="0" xfId="3" applyFont="1" applyFill="1" applyAlignment="1" applyProtection="1"/>
    <xf numFmtId="0" fontId="67" fillId="24" borderId="0" xfId="3" applyFont="1" applyFill="1" applyBorder="1" applyAlignment="1" applyProtection="1">
      <alignment horizontal="left" vertical="center"/>
    </xf>
    <xf numFmtId="169"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66" fontId="0" fillId="10" borderId="2" xfId="0" applyNumberFormat="1" applyFill="1" applyBorder="1"/>
    <xf numFmtId="166" fontId="0" fillId="18" borderId="0" xfId="0" applyNumberFormat="1" applyFill="1" applyBorder="1"/>
    <xf numFmtId="166"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66" fontId="27" fillId="0" borderId="0" xfId="0" applyNumberFormat="1" applyFont="1" applyFill="1" applyBorder="1"/>
    <xf numFmtId="0" fontId="50" fillId="12" borderId="61" xfId="0" applyNumberFormat="1" applyFont="1" applyFill="1" applyBorder="1" applyAlignment="1" applyProtection="1">
      <alignment vertical="center"/>
    </xf>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0" fontId="4"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horizontal="right" vertical="center"/>
      <protection locked="0"/>
    </xf>
    <xf numFmtId="0" fontId="4" fillId="8" borderId="26" xfId="0" applyFont="1" applyFill="1" applyBorder="1" applyAlignment="1" applyProtection="1">
      <alignment vertical="center"/>
    </xf>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8" fillId="0" borderId="0" xfId="4" applyFont="1" applyBorder="1" applyAlignment="1">
      <alignment horizontal="center"/>
    </xf>
    <xf numFmtId="0" fontId="48" fillId="0" borderId="0" xfId="0" applyFont="1" applyAlignment="1">
      <alignment horizontal="center"/>
    </xf>
    <xf numFmtId="0" fontId="70" fillId="0" borderId="0" xfId="4" applyFont="1" applyBorder="1" applyAlignment="1">
      <alignment horizontal="right"/>
    </xf>
    <xf numFmtId="0" fontId="70" fillId="0" borderId="22" xfId="4" applyFont="1" applyBorder="1" applyAlignment="1">
      <alignment horizontal="right"/>
    </xf>
    <xf numFmtId="0" fontId="70" fillId="0" borderId="0" xfId="0" applyFont="1" applyAlignment="1">
      <alignment horizontal="right"/>
    </xf>
    <xf numFmtId="0" fontId="70" fillId="0" borderId="0" xfId="0" applyFont="1" applyBorder="1" applyAlignment="1">
      <alignment horizontal="right"/>
    </xf>
    <xf numFmtId="0" fontId="66" fillId="0" borderId="0" xfId="0" applyFont="1"/>
    <xf numFmtId="165" fontId="7" fillId="4" borderId="63" xfId="4" applyNumberFormat="1" applyFont="1" applyFill="1" applyBorder="1" applyAlignment="1"/>
    <xf numFmtId="167" fontId="3" fillId="0" borderId="0" xfId="4" applyNumberFormat="1"/>
    <xf numFmtId="0" fontId="4" fillId="2" borderId="20" xfId="4" applyFont="1" applyFill="1" applyBorder="1" applyAlignment="1">
      <alignment horizontal="center" vertical="center" wrapText="1"/>
    </xf>
    <xf numFmtId="0" fontId="48"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65" fontId="4" fillId="4" borderId="41" xfId="4" applyNumberFormat="1" applyFont="1" applyFill="1" applyBorder="1" applyAlignment="1"/>
    <xf numFmtId="165"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81" fontId="3" fillId="17" borderId="11" xfId="4" applyNumberFormat="1" applyFill="1" applyBorder="1" applyAlignment="1">
      <alignment horizontal="center" vertical="center"/>
    </xf>
    <xf numFmtId="164" fontId="3" fillId="0" borderId="0" xfId="7" applyNumberFormat="1" applyFont="1"/>
    <xf numFmtId="0" fontId="3" fillId="0" borderId="0" xfId="0" quotePrefix="1" applyFont="1"/>
    <xf numFmtId="0" fontId="48" fillId="0" borderId="0" xfId="0" applyFont="1" applyAlignment="1">
      <alignment horizontal="left"/>
    </xf>
    <xf numFmtId="0" fontId="4" fillId="8" borderId="11" xfId="4" applyFont="1" applyFill="1" applyBorder="1" applyAlignment="1">
      <alignment horizontal="center" vertical="center"/>
    </xf>
    <xf numFmtId="167"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5" fillId="8" borderId="0" xfId="4" applyFont="1" applyFill="1"/>
    <xf numFmtId="167" fontId="75" fillId="8" borderId="0" xfId="4" applyNumberFormat="1" applyFont="1" applyFill="1" applyAlignment="1">
      <alignment horizontal="right"/>
    </xf>
    <xf numFmtId="0" fontId="75" fillId="8" borderId="0" xfId="4" applyFont="1" applyFill="1" applyAlignment="1">
      <alignment horizontal="left" vertical="center"/>
    </xf>
    <xf numFmtId="165" fontId="75"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8" fillId="8" borderId="11" xfId="4" applyFont="1" applyFill="1" applyBorder="1" applyAlignment="1">
      <alignment horizontal="center" vertical="center"/>
    </xf>
    <xf numFmtId="0" fontId="59" fillId="8" borderId="0" xfId="4" applyFont="1" applyFill="1" applyAlignment="1">
      <alignment horizontal="left" vertical="center"/>
    </xf>
    <xf numFmtId="0" fontId="54" fillId="3" borderId="69" xfId="4" applyFont="1" applyFill="1" applyBorder="1" applyAlignment="1">
      <alignment horizontal="center" vertical="center"/>
    </xf>
    <xf numFmtId="49" fontId="73" fillId="14" borderId="68" xfId="4" applyNumberFormat="1" applyFont="1" applyFill="1" applyBorder="1" applyAlignment="1">
      <alignment horizontal="center" vertical="center"/>
    </xf>
    <xf numFmtId="0" fontId="73" fillId="14" borderId="47" xfId="4" applyFont="1" applyFill="1" applyBorder="1" applyAlignment="1">
      <alignment horizontal="center" vertical="center"/>
    </xf>
    <xf numFmtId="167" fontId="76" fillId="0" borderId="0" xfId="4" applyNumberFormat="1" applyFont="1" applyFill="1" applyAlignment="1">
      <alignment horizontal="right" vertical="center"/>
    </xf>
    <xf numFmtId="165" fontId="76" fillId="8" borderId="0" xfId="4" applyNumberFormat="1" applyFont="1" applyFill="1" applyAlignment="1">
      <alignment vertical="center"/>
    </xf>
    <xf numFmtId="49" fontId="59" fillId="8" borderId="0" xfId="4" applyNumberFormat="1" applyFont="1" applyFill="1" applyAlignment="1" applyProtection="1">
      <alignment horizontal="left" vertical="center"/>
      <protection locked="0" hidden="1"/>
    </xf>
    <xf numFmtId="0" fontId="59" fillId="8" borderId="0" xfId="4" applyFont="1" applyFill="1" applyAlignment="1" applyProtection="1">
      <alignment horizontal="left" vertical="center"/>
      <protection locked="0" hidden="1"/>
    </xf>
    <xf numFmtId="0" fontId="3" fillId="8" borderId="0" xfId="4" applyFont="1" applyFill="1" applyAlignment="1" applyProtection="1">
      <alignment vertical="center"/>
      <protection locked="0" hidden="1"/>
    </xf>
    <xf numFmtId="0" fontId="55" fillId="12" borderId="0" xfId="0" applyFont="1" applyFill="1" applyAlignment="1"/>
    <xf numFmtId="0" fontId="59" fillId="8" borderId="0" xfId="4" applyFont="1" applyFill="1"/>
    <xf numFmtId="0" fontId="76" fillId="8" borderId="0" xfId="4" applyFont="1" applyFill="1" applyAlignment="1">
      <alignment horizontal="left"/>
    </xf>
    <xf numFmtId="0" fontId="48" fillId="0" borderId="22" xfId="0" applyFont="1" applyBorder="1"/>
    <xf numFmtId="0" fontId="17" fillId="24" borderId="0" xfId="0" applyFont="1" applyFill="1" applyProtection="1"/>
    <xf numFmtId="0" fontId="17" fillId="12" borderId="35" xfId="0" applyFont="1" applyFill="1" applyBorder="1" applyProtection="1"/>
    <xf numFmtId="169" fontId="17" fillId="12" borderId="39" xfId="0" applyNumberFormat="1" applyFont="1" applyFill="1" applyBorder="1" applyAlignment="1" applyProtection="1">
      <alignment horizontal="center"/>
    </xf>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3" fillId="8" borderId="35" xfId="0" applyNumberFormat="1" applyFont="1" applyFill="1" applyBorder="1" applyAlignment="1" applyProtection="1">
      <alignment horizontal="right"/>
    </xf>
    <xf numFmtId="0" fontId="3" fillId="8" borderId="35" xfId="0" applyFont="1" applyFill="1" applyBorder="1" applyAlignment="1" applyProtection="1"/>
    <xf numFmtId="0" fontId="50"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0" fontId="4" fillId="12" borderId="26" xfId="0" applyNumberFormat="1" applyFont="1" applyFill="1" applyBorder="1" applyAlignment="1" applyProtection="1">
      <alignment vertical="center"/>
    </xf>
    <xf numFmtId="0" fontId="3" fillId="8" borderId="35" xfId="0" applyFont="1" applyFill="1" applyBorder="1" applyAlignment="1" applyProtection="1">
      <alignment horizontal="left"/>
    </xf>
    <xf numFmtId="1" fontId="49"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60" fillId="13" borderId="35" xfId="0" applyFont="1" applyFill="1" applyBorder="1" applyAlignment="1" applyProtection="1">
      <alignment vertical="center"/>
    </xf>
    <xf numFmtId="0" fontId="17" fillId="13" borderId="35" xfId="0" applyFont="1" applyFill="1" applyBorder="1" applyProtection="1"/>
    <xf numFmtId="0" fontId="78"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20" fontId="0" fillId="0" borderId="0" xfId="0" applyNumberFormat="1"/>
    <xf numFmtId="166" fontId="0" fillId="0" borderId="0" xfId="0" applyNumberFormat="1" applyFill="1" applyBorder="1"/>
    <xf numFmtId="183" fontId="0" fillId="0" borderId="0" xfId="0" applyNumberFormat="1" applyBorder="1" applyAlignment="1">
      <alignment horizontal="right"/>
    </xf>
    <xf numFmtId="183"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Border="1" applyAlignment="1">
      <alignment horizontal="left"/>
    </xf>
    <xf numFmtId="2" fontId="3" fillId="0" borderId="0" xfId="0" applyNumberFormat="1" applyFont="1"/>
    <xf numFmtId="167" fontId="3" fillId="0" borderId="0" xfId="4" applyNumberFormat="1" applyFont="1"/>
    <xf numFmtId="2" fontId="3" fillId="0" borderId="0" xfId="4" applyNumberFormat="1" applyFont="1"/>
    <xf numFmtId="1" fontId="3" fillId="0" borderId="0" xfId="4" applyNumberFormat="1" applyFont="1"/>
    <xf numFmtId="166" fontId="3" fillId="0" borderId="0" xfId="0" applyNumberFormat="1" applyFont="1"/>
    <xf numFmtId="166" fontId="4" fillId="0" borderId="0" xfId="0" applyNumberFormat="1" applyFont="1"/>
    <xf numFmtId="0" fontId="4" fillId="4" borderId="35" xfId="4" applyFont="1" applyFill="1" applyBorder="1" applyAlignment="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0" borderId="0" xfId="0" applyNumberFormat="1" applyFon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67" fontId="15" fillId="18" borderId="0" xfId="0" applyNumberFormat="1" applyFont="1" applyFill="1" applyBorder="1" applyAlignment="1">
      <alignment horizontal="right"/>
    </xf>
    <xf numFmtId="176" fontId="27" fillId="0" borderId="0" xfId="0" applyNumberFormat="1" applyFont="1" applyFill="1" applyBorder="1"/>
    <xf numFmtId="0" fontId="3" fillId="0" borderId="33" xfId="0" applyFont="1" applyBorder="1"/>
    <xf numFmtId="167" fontId="27" fillId="4" borderId="0" xfId="0" applyNumberFormat="1" applyFont="1" applyFill="1" applyBorder="1"/>
    <xf numFmtId="165" fontId="27" fillId="0" borderId="0" xfId="0" applyNumberFormat="1" applyFont="1" applyFill="1" applyBorder="1"/>
    <xf numFmtId="166"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17" fillId="12" borderId="40" xfId="0" applyFont="1" applyFill="1" applyBorder="1" applyProtection="1"/>
    <xf numFmtId="0" fontId="3" fillId="0" borderId="0" xfId="0" applyNumberFormat="1" applyFont="1"/>
    <xf numFmtId="0" fontId="79" fillId="0" borderId="0" xfId="0" applyFont="1" applyAlignment="1">
      <alignment horizontal="right"/>
    </xf>
    <xf numFmtId="1" fontId="3" fillId="0" borderId="0" xfId="0" applyNumberFormat="1" applyFont="1"/>
    <xf numFmtId="167" fontId="3" fillId="0" borderId="0" xfId="0" applyNumberFormat="1" applyFont="1"/>
    <xf numFmtId="1" fontId="50"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80" fillId="0" borderId="0" xfId="0" applyFont="1" applyAlignment="1">
      <alignment vertical="center" wrapText="1"/>
    </xf>
    <xf numFmtId="0" fontId="3" fillId="0" borderId="0" xfId="0" applyNumberFormat="1" applyFont="1" applyFill="1" applyBorder="1" applyAlignment="1" applyProtection="1">
      <alignment horizontal="right" vertical="center"/>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67" fontId="49" fillId="12" borderId="35" xfId="0" applyNumberFormat="1" applyFont="1" applyFill="1" applyBorder="1" applyAlignment="1" applyProtection="1">
      <alignment vertical="center"/>
    </xf>
    <xf numFmtId="165" fontId="3" fillId="0" borderId="0" xfId="0" applyNumberFormat="1" applyFont="1"/>
    <xf numFmtId="1" fontId="4" fillId="12" borderId="0" xfId="0" applyNumberFormat="1" applyFont="1" applyFill="1" applyBorder="1" applyAlignment="1" applyProtection="1">
      <alignment vertical="center"/>
    </xf>
    <xf numFmtId="1" fontId="66" fillId="0" borderId="0" xfId="0" applyNumberFormat="1" applyFont="1" applyFill="1" applyBorder="1" applyAlignment="1" applyProtection="1">
      <alignment horizontal="right" vertical="center"/>
    </xf>
    <xf numFmtId="167"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5" fillId="8" borderId="75" xfId="0" applyFont="1" applyFill="1" applyBorder="1" applyProtection="1"/>
    <xf numFmtId="0" fontId="45" fillId="8" borderId="76" xfId="0" applyFont="1" applyFill="1" applyBorder="1" applyProtection="1"/>
    <xf numFmtId="0" fontId="45"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66" fontId="4" fillId="0" borderId="2" xfId="0" applyNumberFormat="1" applyFont="1" applyFill="1" applyBorder="1"/>
    <xf numFmtId="0" fontId="48" fillId="0" borderId="0" xfId="0" applyFont="1" applyBorder="1"/>
    <xf numFmtId="0" fontId="27" fillId="18" borderId="0" xfId="0" applyNumberFormat="1" applyFont="1" applyFill="1" applyBorder="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3" fillId="8" borderId="38" xfId="0" applyFont="1" applyFill="1" applyBorder="1" applyAlignment="1" applyProtection="1">
      <alignment horizontal="right"/>
    </xf>
    <xf numFmtId="0" fontId="48" fillId="0" borderId="0" xfId="0" applyFont="1" applyAlignment="1">
      <alignment horizontal="right"/>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pplyProtection="1">
      <alignment horizontal="right" vertical="center"/>
    </xf>
    <xf numFmtId="2" fontId="48" fillId="0" borderId="0" xfId="0" applyNumberFormat="1" applyFont="1" applyAlignment="1">
      <alignment horizontal="left"/>
    </xf>
    <xf numFmtId="2" fontId="48" fillId="0" borderId="0" xfId="0" applyNumberFormat="1" applyFont="1" applyAlignment="1">
      <alignment horizontal="right"/>
    </xf>
    <xf numFmtId="166" fontId="4" fillId="0" borderId="0" xfId="0" applyNumberFormat="1" applyFont="1" applyAlignment="1">
      <alignment horizontal="right"/>
    </xf>
    <xf numFmtId="166"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172" fontId="3" fillId="12" borderId="11" xfId="4" applyNumberFormat="1" applyFill="1" applyBorder="1" applyAlignment="1">
      <alignment horizontal="center" vertical="center"/>
    </xf>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9" fillId="12" borderId="0" xfId="4" applyFont="1" applyFill="1" applyAlignment="1">
      <alignment horizontal="left" vertical="center"/>
    </xf>
    <xf numFmtId="0" fontId="3" fillId="12" borderId="0" xfId="4" applyFill="1" applyAlignment="1">
      <alignment vertical="center"/>
    </xf>
    <xf numFmtId="0" fontId="59" fillId="12" borderId="0" xfId="4" applyFont="1" applyFill="1" applyAlignment="1" applyProtection="1">
      <alignment horizontal="left" vertical="center"/>
      <protection locked="0" hidden="1"/>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 fontId="3" fillId="12" borderId="11" xfId="4" applyNumberFormat="1" applyFill="1" applyBorder="1" applyAlignment="1">
      <alignment horizontal="center" vertical="center"/>
    </xf>
    <xf numFmtId="0" fontId="4" fillId="12" borderId="0" xfId="0" applyFont="1" applyFill="1" applyBorder="1" applyAlignment="1" applyProtection="1">
      <alignment horizontal="right"/>
    </xf>
    <xf numFmtId="166" fontId="48" fillId="0" borderId="0" xfId="0" applyNumberFormat="1" applyFont="1" applyAlignment="1">
      <alignment horizontal="left"/>
    </xf>
    <xf numFmtId="167" fontId="3" fillId="8" borderId="63" xfId="0" applyNumberFormat="1" applyFont="1" applyFill="1" applyBorder="1" applyAlignment="1" applyProtection="1">
      <alignment horizontal="right" vertical="center"/>
    </xf>
    <xf numFmtId="1" fontId="49" fillId="8" borderId="35" xfId="2" applyNumberFormat="1" applyFont="1" applyFill="1" applyBorder="1" applyAlignment="1" applyProtection="1">
      <alignment horizontal="right" vertical="center"/>
    </xf>
    <xf numFmtId="0" fontId="3" fillId="8" borderId="0" xfId="0" applyNumberFormat="1" applyFont="1" applyFill="1" applyBorder="1" applyAlignment="1" applyProtection="1"/>
    <xf numFmtId="2" fontId="7" fillId="10" borderId="0" xfId="0" applyNumberFormat="1" applyFont="1" applyFill="1" applyBorder="1"/>
    <xf numFmtId="0" fontId="3" fillId="12" borderId="64" xfId="0" applyNumberFormat="1" applyFont="1" applyFill="1" applyBorder="1" applyAlignment="1" applyProtection="1">
      <alignment vertical="center"/>
    </xf>
    <xf numFmtId="164" fontId="0" fillId="0" borderId="0" xfId="0" applyNumberFormat="1"/>
    <xf numFmtId="0" fontId="3" fillId="12" borderId="23" xfId="0" applyNumberFormat="1" applyFont="1" applyFill="1" applyBorder="1" applyAlignment="1" applyProtection="1"/>
    <xf numFmtId="0" fontId="3" fillId="12" borderId="40" xfId="0" applyNumberFormat="1" applyFont="1" applyFill="1" applyBorder="1" applyAlignment="1" applyProtection="1"/>
    <xf numFmtId="2" fontId="3" fillId="8" borderId="39" xfId="0" applyNumberFormat="1" applyFont="1" applyFill="1" applyBorder="1" applyAlignment="1" applyProtection="1">
      <alignment horizontal="right"/>
    </xf>
    <xf numFmtId="168" fontId="7" fillId="0" borderId="0" xfId="0" applyNumberFormat="1" applyFont="1" applyFill="1" applyBorder="1"/>
    <xf numFmtId="11" fontId="7" fillId="0" borderId="0" xfId="0" applyNumberFormat="1" applyFont="1" applyFill="1" applyBorder="1"/>
    <xf numFmtId="0" fontId="3" fillId="0" borderId="11" xfId="0" applyFont="1" applyBorder="1"/>
    <xf numFmtId="0" fontId="0" fillId="0" borderId="11" xfId="0" applyFill="1" applyBorder="1"/>
    <xf numFmtId="1" fontId="3" fillId="12" borderId="0" xfId="0" applyNumberFormat="1" applyFont="1" applyFill="1" applyAlignment="1" applyProtection="1">
      <alignment horizontal="right"/>
    </xf>
    <xf numFmtId="0" fontId="3" fillId="0" borderId="0" xfId="4" applyFill="1"/>
    <xf numFmtId="166" fontId="3" fillId="0" borderId="0" xfId="4" applyNumberFormat="1" applyFill="1"/>
    <xf numFmtId="0" fontId="81" fillId="0" borderId="22" xfId="0" applyFont="1" applyBorder="1"/>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0" fontId="54" fillId="3" borderId="69" xfId="4" applyFont="1" applyFill="1" applyBorder="1" applyAlignment="1">
      <alignment horizontal="center" vertical="center"/>
    </xf>
    <xf numFmtId="0" fontId="54" fillId="3" borderId="71" xfId="4" applyFont="1" applyFill="1" applyBorder="1" applyAlignment="1">
      <alignment horizontal="center" vertical="center"/>
    </xf>
    <xf numFmtId="0" fontId="54" fillId="3" borderId="72" xfId="4" applyFont="1" applyFill="1" applyBorder="1" applyAlignment="1">
      <alignment horizontal="center" vertical="center"/>
    </xf>
    <xf numFmtId="182" fontId="3" fillId="17" borderId="8" xfId="4" applyNumberFormat="1" applyFill="1" applyBorder="1" applyAlignment="1">
      <alignment horizontal="left" vertical="center"/>
    </xf>
    <xf numFmtId="182" fontId="3" fillId="17" borderId="9" xfId="4" applyNumberFormat="1" applyFill="1" applyBorder="1" applyAlignment="1">
      <alignment horizontal="lef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3" fontId="3" fillId="12" borderId="8" xfId="4" applyNumberFormat="1" applyFill="1" applyBorder="1" applyAlignment="1">
      <alignment horizontal="left" vertical="center" wrapText="1"/>
    </xf>
    <xf numFmtId="173" fontId="3" fillId="12" borderId="9" xfId="4" applyNumberFormat="1" applyFill="1" applyBorder="1" applyAlignment="1">
      <alignment horizontal="left" vertical="center" wrapText="1"/>
    </xf>
    <xf numFmtId="173" fontId="3" fillId="12" borderId="15" xfId="4" applyNumberFormat="1" applyFill="1" applyBorder="1" applyAlignment="1">
      <alignment horizontal="left" vertical="center" wrapText="1"/>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40" fillId="12" borderId="22" xfId="0" applyFont="1" applyFill="1" applyBorder="1" applyAlignment="1" applyProtection="1">
      <alignment horizontal="left" vertical="center"/>
    </xf>
    <xf numFmtId="0" fontId="40" fillId="12" borderId="0" xfId="0" applyFont="1" applyFill="1" applyBorder="1" applyAlignment="1" applyProtection="1">
      <alignment horizontal="left" vertical="center"/>
    </xf>
    <xf numFmtId="0" fontId="4" fillId="0" borderId="0" xfId="0" applyFont="1" applyAlignment="1">
      <alignment horizontal="center"/>
    </xf>
    <xf numFmtId="0" fontId="5" fillId="3" borderId="0" xfId="0" applyFont="1" applyFill="1" applyAlignment="1">
      <alignment horizontal="left"/>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78" xfId="4" applyFont="1" applyFill="1" applyBorder="1" applyAlignment="1">
      <alignment horizontal="left"/>
    </xf>
    <xf numFmtId="0" fontId="4" fillId="4" borderId="66" xfId="4" applyFont="1" applyFill="1" applyBorder="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cellXfs>
  <cellStyles count="8">
    <cellStyle name="Comma" xfId="2" builtinId="3"/>
    <cellStyle name="Comma 2" xfId="6"/>
    <cellStyle name="Hyperlink" xfId="3" builtinId="8"/>
    <cellStyle name="Normal" xfId="0" builtinId="0"/>
    <cellStyle name="Normal 2" xfId="4"/>
    <cellStyle name="Normal 3" xfId="5"/>
    <cellStyle name="Percent" xfId="7" builtinId="5"/>
    <cellStyle name="RowLevel_1" xfId="1" builtinId="1" iLevel="0"/>
  </cellStyles>
  <dxfs count="60">
    <dxf>
      <border>
        <left style="thin">
          <color indexed="64"/>
        </left>
        <right style="thin">
          <color indexed="64"/>
        </right>
        <top style="thin">
          <color indexed="64"/>
        </top>
        <bottom style="thin">
          <color indexed="64"/>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99"/>
      </font>
    </dxf>
    <dxf>
      <font>
        <color theme="0"/>
      </font>
    </dxf>
    <dxf>
      <font>
        <strike val="0"/>
        <color theme="0"/>
      </font>
      <fill>
        <patternFill>
          <bgColor rgb="FFFF0000"/>
        </patternFill>
      </fill>
    </dxf>
    <dxf>
      <font>
        <color theme="0"/>
      </font>
      <fill>
        <patternFill patternType="solid">
          <fgColor auto="1"/>
          <bgColor rgb="FFFF0000"/>
        </patternFill>
      </fill>
    </dxf>
    <dxf>
      <font>
        <color theme="0"/>
      </font>
      <fill>
        <patternFill>
          <bgColor theme="0"/>
        </patternFill>
      </fill>
    </dxf>
    <dxf>
      <font>
        <b/>
        <i val="0"/>
        <color rgb="FFFF0000"/>
      </font>
    </dxf>
    <dxf>
      <font>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color rgb="FFFF0000"/>
      </font>
    </dxf>
    <dxf>
      <font>
        <color rgb="FFFF0000"/>
      </font>
    </dxf>
    <dxf>
      <font>
        <b/>
        <i val="0"/>
        <color rgb="FFFF0000"/>
      </font>
    </dxf>
    <dxf>
      <font>
        <b/>
        <i val="0"/>
        <condense val="0"/>
        <extend val="0"/>
        <color indexed="12"/>
      </font>
    </dxf>
    <dxf>
      <font>
        <b/>
        <i val="0"/>
        <condense val="0"/>
        <extend val="0"/>
        <color indexed="10"/>
      </font>
    </dxf>
    <dxf>
      <font>
        <color rgb="FFFF0000"/>
      </font>
    </dxf>
    <dxf>
      <font>
        <color rgb="FFFF0000"/>
      </font>
    </dxf>
    <dxf>
      <font>
        <color rgb="FFFF0000"/>
      </font>
    </dxf>
    <dxf>
      <font>
        <color rgb="FFFF0000"/>
      </font>
    </dxf>
    <dxf>
      <border>
        <right/>
        <vertical/>
        <horizontal/>
      </border>
    </dxf>
    <dxf>
      <border>
        <left/>
        <right/>
        <top/>
        <bottom/>
        <vertical/>
        <horizontal/>
      </border>
    </dxf>
    <dxf>
      <border>
        <bottom/>
        <vertical/>
        <horizontal/>
      </border>
    </dxf>
    <dxf>
      <font>
        <color rgb="FFFF0000"/>
      </font>
    </dxf>
    <dxf>
      <font>
        <color rgb="FFFF0000"/>
      </font>
    </dxf>
    <dxf>
      <font>
        <color rgb="FFFF0000"/>
      </font>
    </dxf>
    <dxf>
      <font>
        <b/>
        <i val="0"/>
        <color rgb="FFC00000"/>
      </font>
    </dxf>
    <dxf>
      <font>
        <color theme="0"/>
      </font>
      <fill>
        <patternFill>
          <bgColor theme="0"/>
        </patternFill>
      </fill>
    </dxf>
    <dxf>
      <font>
        <b/>
        <i val="0"/>
        <color rgb="FFC00000"/>
      </font>
    </dxf>
    <dxf>
      <font>
        <color theme="0"/>
      </font>
    </dxf>
    <dxf>
      <font>
        <b/>
        <i val="0"/>
        <color rgb="FFC00000"/>
      </font>
    </dxf>
    <dxf>
      <font>
        <color theme="0"/>
      </font>
      <fill>
        <patternFill>
          <bgColor theme="0"/>
        </patternFill>
      </fill>
    </dxf>
    <dxf>
      <font>
        <color theme="0"/>
      </font>
    </dxf>
    <dxf>
      <font>
        <color rgb="FFFF0000"/>
      </font>
    </dxf>
    <dxf>
      <font>
        <color rgb="FFFF0000"/>
      </font>
    </dxf>
    <dxf>
      <font>
        <color rgb="FFFF0000"/>
      </font>
    </dxf>
    <dxf>
      <font>
        <color rgb="FFFF0000"/>
      </font>
    </dxf>
    <dxf>
      <font>
        <color rgb="FFFF0000"/>
      </font>
    </dxf>
    <dxf>
      <font>
        <b/>
        <i val="0"/>
        <color rgb="FFFF0000"/>
      </font>
    </dxf>
    <dxf>
      <font>
        <b/>
        <i val="0"/>
        <condense val="0"/>
        <extend val="0"/>
        <color indexed="10"/>
      </font>
    </dxf>
  </dxfs>
  <tableStyles count="0" defaultTableStyle="TableStyleMedium9" defaultPivotStyle="PivotStyleLight16"/>
  <colors>
    <mruColors>
      <color rgb="FFEE6112"/>
      <color rgb="FF0000FF"/>
      <color rgb="FFFFFF99"/>
      <color rgb="FFFFFF66"/>
      <color rgb="FFFF9900"/>
      <color rgb="FF33CC33"/>
      <color rgb="FFFF00FF"/>
      <color rgb="FF00FF00"/>
      <color rgb="FF99CC00"/>
      <color rgb="FF66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342.20451257582295</c:v>
                </c:pt>
                <c:pt idx="42">
                  <c:v>334.05678608592234</c:v>
                </c:pt>
                <c:pt idx="43">
                  <c:v>326.28802361880787</c:v>
                </c:pt>
                <c:pt idx="44">
                  <c:v>318.87238671838037</c:v>
                </c:pt>
                <c:pt idx="45">
                  <c:v>311.78633368019422</c:v>
                </c:pt>
                <c:pt idx="46">
                  <c:v>305.0083699045378</c:v>
                </c:pt>
                <c:pt idx="47">
                  <c:v>298.51883011933495</c:v>
                </c:pt>
                <c:pt idx="48">
                  <c:v>292.29968782518205</c:v>
                </c:pt>
                <c:pt idx="49">
                  <c:v>286.33438807364769</c:v>
                </c:pt>
                <c:pt idx="50">
                  <c:v>280.60770031217481</c:v>
                </c:pt>
                <c:pt idx="51">
                  <c:v>275.10558854134786</c:v>
                </c:pt>
                <c:pt idx="52">
                  <c:v>269.81509645401417</c:v>
                </c:pt>
                <c:pt idx="53">
                  <c:v>264.72424557752333</c:v>
                </c:pt>
                <c:pt idx="54">
                  <c:v>259.82194473349517</c:v>
                </c:pt>
                <c:pt idx="55">
                  <c:v>255.09790937470433</c:v>
                </c:pt>
                <c:pt idx="56">
                  <c:v>250.5425895644417</c:v>
                </c:pt>
                <c:pt idx="57">
                  <c:v>246.14710553699544</c:v>
                </c:pt>
                <c:pt idx="58">
                  <c:v>241.90318992428863</c:v>
                </c:pt>
                <c:pt idx="59">
                  <c:v>237.80313585777523</c:v>
                </c:pt>
                <c:pt idx="60">
                  <c:v>233.83975026014565</c:v>
                </c:pt>
                <c:pt idx="61">
                  <c:v>230.00631173129079</c:v>
                </c:pt>
                <c:pt idx="62">
                  <c:v>226.29653250981835</c:v>
                </c:pt>
                <c:pt idx="63">
                  <c:v>222.70452405728159</c:v>
                </c:pt>
                <c:pt idx="64">
                  <c:v>219.22476586888652</c:v>
                </c:pt>
                <c:pt idx="65">
                  <c:v>215.85207716321136</c:v>
                </c:pt>
                <c:pt idx="66">
                  <c:v>212.58159114558694</c:v>
                </c:pt>
                <c:pt idx="67">
                  <c:v>209.40873157624981</c:v>
                </c:pt>
                <c:pt idx="68">
                  <c:v>206.32919140601081</c:v>
                </c:pt>
                <c:pt idx="69">
                  <c:v>203.33891326969189</c:v>
                </c:pt>
                <c:pt idx="70">
                  <c:v>200.43407165155344</c:v>
                </c:pt>
                <c:pt idx="71">
                  <c:v>197.61105655786957</c:v>
                </c:pt>
                <c:pt idx="72">
                  <c:v>194.86645855012142</c:v>
                </c:pt>
                <c:pt idx="73">
                  <c:v>192.19705500833888</c:v>
                </c:pt>
                <c:pt idx="74">
                  <c:v>189.5997975082262</c:v>
                </c:pt>
                <c:pt idx="75">
                  <c:v>187.07180020811654</c:v>
                </c:pt>
                <c:pt idx="76">
                  <c:v>184.61032915274654</c:v>
                </c:pt>
                <c:pt idx="77">
                  <c:v>182.21279241050308</c:v>
                </c:pt>
                <c:pt idx="78">
                  <c:v>179.87673096934279</c:v>
                </c:pt>
                <c:pt idx="79">
                  <c:v>177.59981032416127</c:v>
                </c:pt>
                <c:pt idx="80">
                  <c:v>175.37981269510925</c:v>
                </c:pt>
                <c:pt idx="81">
                  <c:v>173.21462982233007</c:v>
                </c:pt>
                <c:pt idx="82">
                  <c:v>171.10225628791147</c:v>
                </c:pt>
                <c:pt idx="83">
                  <c:v>169.04078332058725</c:v>
                </c:pt>
                <c:pt idx="84">
                  <c:v>167.02839304296117</c:v>
                </c:pt>
                <c:pt idx="85">
                  <c:v>165.06335312480871</c:v>
                </c:pt>
                <c:pt idx="86">
                  <c:v>163.14401180940393</c:v>
                </c:pt>
                <c:pt idx="87">
                  <c:v>161.26879328285909</c:v>
                </c:pt>
                <c:pt idx="88">
                  <c:v>159.43619335919018</c:v>
                </c:pt>
                <c:pt idx="89">
                  <c:v>157.64477545627796</c:v>
                </c:pt>
                <c:pt idx="90">
                  <c:v>155.89316684009711</c:v>
                </c:pt>
                <c:pt idx="91">
                  <c:v>154.18005511657952</c:v>
                </c:pt>
                <c:pt idx="92">
                  <c:v>152.5041849522689</c:v>
                </c:pt>
                <c:pt idx="93">
                  <c:v>151.21080883708197</c:v>
                </c:pt>
                <c:pt idx="94">
                  <c:v>150.0914523607965</c:v>
                </c:pt>
                <c:pt idx="95">
                  <c:v>148.97609721456331</c:v>
                </c:pt>
                <c:pt idx="96">
                  <c:v>147.86480270898781</c:v>
                </c:pt>
                <c:pt idx="97">
                  <c:v>146.75762872401879</c:v>
                </c:pt>
                <c:pt idx="98">
                  <c:v>145.65463569302193</c:v>
                </c:pt>
                <c:pt idx="99">
                  <c:v>144.55588458551486</c:v>
                </c:pt>
                <c:pt idx="100">
                  <c:v>143.46143688852348</c:v>
                </c:pt>
              </c:numCache>
            </c:numRef>
          </c:val>
          <c:smooth val="0"/>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347.34824116539556</c:v>
                </c:pt>
                <c:pt idx="80">
                  <c:v>343.00638815082817</c:v>
                </c:pt>
                <c:pt idx="81">
                  <c:v>338.77174138353394</c:v>
                </c:pt>
                <c:pt idx="82">
                  <c:v>334.64037868373487</c:v>
                </c:pt>
                <c:pt idx="83">
                  <c:v>330.60856689236454</c:v>
                </c:pt>
                <c:pt idx="84">
                  <c:v>326.67275061983628</c:v>
                </c:pt>
                <c:pt idx="85">
                  <c:v>322.82954178901474</c:v>
                </c:pt>
                <c:pt idx="86">
                  <c:v>319.07570990774718</c:v>
                </c:pt>
                <c:pt idx="87">
                  <c:v>315.40817301225582</c:v>
                </c:pt>
                <c:pt idx="88">
                  <c:v>311.8239892280256</c:v>
                </c:pt>
                <c:pt idx="89">
                  <c:v>308.32034889962085</c:v>
                </c:pt>
                <c:pt idx="90">
                  <c:v>304.89456724518067</c:v>
                </c:pt>
                <c:pt idx="91">
                  <c:v>301.54407749523358</c:v>
                </c:pt>
                <c:pt idx="92">
                  <c:v>298.26642447898098</c:v>
                </c:pt>
                <c:pt idx="93">
                  <c:v>295.05925862436834</c:v>
                </c:pt>
                <c:pt idx="94">
                  <c:v>291.92033034113041</c:v>
                </c:pt>
                <c:pt idx="95">
                  <c:v>288.8474847585922</c:v>
                </c:pt>
                <c:pt idx="96">
                  <c:v>285.83865679235686</c:v>
                </c:pt>
                <c:pt idx="97">
                  <c:v>282.89186651614693</c:v>
                </c:pt>
                <c:pt idx="98">
                  <c:v>280.00521481700258</c:v>
                </c:pt>
                <c:pt idx="99">
                  <c:v>277.17687931380055</c:v>
                </c:pt>
                <c:pt idx="100">
                  <c:v>274.40511052066256</c:v>
                </c:pt>
              </c:numCache>
            </c:numRef>
          </c:val>
          <c:smooth val="0"/>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Single'!$CD$110:$CD$210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184.61032915274654</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Single'!$CD$5:$CD$105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Single'!$CD$216:$CD$316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151783680"/>
        <c:axId val="151798144"/>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3.7499999999999999E-3</c:v>
                </c:pt>
                <c:pt idx="1">
                  <c:v>1.472222222222222E-2</c:v>
                </c:pt>
                <c:pt idx="2">
                  <c:v>2.944444444444444E-2</c:v>
                </c:pt>
                <c:pt idx="3">
                  <c:v>4.4166666666666653E-2</c:v>
                </c:pt>
                <c:pt idx="4">
                  <c:v>5.888888888888888E-2</c:v>
                </c:pt>
                <c:pt idx="5">
                  <c:v>7.3611111111111099E-2</c:v>
                </c:pt>
                <c:pt idx="6">
                  <c:v>8.8333333333333305E-2</c:v>
                </c:pt>
                <c:pt idx="7">
                  <c:v>0.10305555555555554</c:v>
                </c:pt>
                <c:pt idx="8">
                  <c:v>0.11777777777777776</c:v>
                </c:pt>
                <c:pt idx="9">
                  <c:v>0.13900689431343563</c:v>
                </c:pt>
                <c:pt idx="10">
                  <c:v>0.14652613216558816</c:v>
                </c:pt>
                <c:pt idx="11">
                  <c:v>0.1536779039034179</c:v>
                </c:pt>
                <c:pt idx="12">
                  <c:v>0.16051133570215184</c:v>
                </c:pt>
                <c:pt idx="13">
                  <c:v>0.16706549503003196</c:v>
                </c:pt>
                <c:pt idx="14">
                  <c:v>0.1733720576401237</c:v>
                </c:pt>
                <c:pt idx="15">
                  <c:v>0.17945712889465024</c:v>
                </c:pt>
                <c:pt idx="16">
                  <c:v>0.18534252575124752</c:v>
                </c:pt>
                <c:pt idx="17">
                  <c:v>0.1910467026477887</c:v>
                </c:pt>
                <c:pt idx="18">
                  <c:v>0.19658543520142416</c:v>
                </c:pt>
                <c:pt idx="19">
                  <c:v>0.20197233492256825</c:v>
                </c:pt>
                <c:pt idx="20">
                  <c:v>0.2072192433506474</c:v>
                </c:pt>
                <c:pt idx="21">
                  <c:v>0.2123365384373484</c:v>
                </c:pt>
                <c:pt idx="22">
                  <c:v>0.21733337593728277</c:v>
                </c:pt>
                <c:pt idx="23">
                  <c:v>0.22221788190205807</c:v>
                </c:pt>
                <c:pt idx="24">
                  <c:v>0.22699730786460395</c:v>
                </c:pt>
                <c:pt idx="25">
                  <c:v>0.2316781571890594</c:v>
                </c:pt>
                <c:pt idx="26">
                  <c:v>0.23626628887604606</c:v>
                </c:pt>
                <c:pt idx="27">
                  <c:v>0.2407670035532278</c:v>
                </c:pt>
                <c:pt idx="28">
                  <c:v>0.24518511525119294</c:v>
                </c:pt>
                <c:pt idx="29">
                  <c:v>0.24952501173525971</c:v>
                </c:pt>
                <c:pt idx="30">
                  <c:v>0.253790705547351</c:v>
                </c:pt>
                <c:pt idx="31">
                  <c:v>0.25798587744867535</c:v>
                </c:pt>
                <c:pt idx="32">
                  <c:v>0.26211391360189884</c:v>
                </c:pt>
                <c:pt idx="33">
                  <c:v>0.26617793756140729</c:v>
                </c:pt>
                <c:pt idx="34">
                  <c:v>0.2701808379311626</c:v>
                </c:pt>
                <c:pt idx="35">
                  <c:v>0.27412529238639383</c:v>
                </c:pt>
                <c:pt idx="36">
                  <c:v>0.27801378862687126</c:v>
                </c:pt>
                <c:pt idx="37">
                  <c:v>0.28184864272763033</c:v>
                </c:pt>
                <c:pt idx="38">
                  <c:v>0.2856320152716571</c:v>
                </c:pt>
                <c:pt idx="39">
                  <c:v>0.28936592558366109</c:v>
                </c:pt>
                <c:pt idx="40">
                  <c:v>0.29305226433117632</c:v>
                </c:pt>
                <c:pt idx="41">
                  <c:v>0.29669280471620874</c:v>
                </c:pt>
                <c:pt idx="42">
                  <c:v>0.3002892124454542</c:v>
                </c:pt>
                <c:pt idx="43">
                  <c:v>0.30384305463816647</c:v>
                </c:pt>
                <c:pt idx="44">
                  <c:v>0.3073558078068358</c:v>
                </c:pt>
                <c:pt idx="45">
                  <c:v>0.31082886502597107</c:v>
                </c:pt>
                <c:pt idx="46">
                  <c:v>0.31426354238771326</c:v>
                </c:pt>
                <c:pt idx="47">
                  <c:v>0.31766108482912231</c:v>
                </c:pt>
                <c:pt idx="48">
                  <c:v>0.32102267140430368</c:v>
                </c:pt>
                <c:pt idx="49">
                  <c:v>0.32434942006468309</c:v>
                </c:pt>
                <c:pt idx="50">
                  <c:v>0.32764239200237355</c:v>
                </c:pt>
                <c:pt idx="51">
                  <c:v>0.33090259560447355</c:v>
                </c:pt>
                <c:pt idx="52">
                  <c:v>0.33413099006006391</c:v>
                </c:pt>
                <c:pt idx="53">
                  <c:v>0.33732848865647158</c:v>
                </c:pt>
                <c:pt idx="54">
                  <c:v>0.34049596179690589</c:v>
                </c:pt>
                <c:pt idx="55">
                  <c:v>0.34363423976772273</c:v>
                </c:pt>
                <c:pt idx="56">
                  <c:v>0.3467441152802474</c:v>
                </c:pt>
                <c:pt idx="57">
                  <c:v>0.34982634580920602</c:v>
                </c:pt>
                <c:pt idx="58">
                  <c:v>0.35288165574730995</c:v>
                </c:pt>
                <c:pt idx="59">
                  <c:v>0.35591073839335574</c:v>
                </c:pt>
                <c:pt idx="60">
                  <c:v>0.35891425778930047</c:v>
                </c:pt>
                <c:pt idx="61">
                  <c:v>0.36189285042010039</c:v>
                </c:pt>
                <c:pt idx="62">
                  <c:v>0.36484712678863995</c:v>
                </c:pt>
                <c:pt idx="63">
                  <c:v>0.36777767287678936</c:v>
                </c:pt>
                <c:pt idx="64">
                  <c:v>0.37068505150249503</c:v>
                </c:pt>
                <c:pt idx="65">
                  <c:v>0.37356980358180469</c:v>
                </c:pt>
                <c:pt idx="66">
                  <c:v>0.37643244930384112</c:v>
                </c:pt>
                <c:pt idx="67">
                  <c:v>0.37927348922595377</c:v>
                </c:pt>
                <c:pt idx="68">
                  <c:v>0.38209340529557739</c:v>
                </c:pt>
                <c:pt idx="69">
                  <c:v>0.38489266180470511</c:v>
                </c:pt>
                <c:pt idx="70">
                  <c:v>0.38767170628232822</c:v>
                </c:pt>
                <c:pt idx="71">
                  <c:v>0.39043097032970198</c:v>
                </c:pt>
                <c:pt idx="72">
                  <c:v>0.39317087040284832</c:v>
                </c:pt>
                <c:pt idx="73">
                  <c:v>0.39589180854631739</c:v>
                </c:pt>
                <c:pt idx="74">
                  <c:v>0.39859417308186379</c:v>
                </c:pt>
                <c:pt idx="75">
                  <c:v>0.40127833925537948</c:v>
                </c:pt>
                <c:pt idx="76">
                  <c:v>0.40394466984513649</c:v>
                </c:pt>
                <c:pt idx="77">
                  <c:v>0.40659351573412611</c:v>
                </c:pt>
                <c:pt idx="78">
                  <c:v>0.40922521644905724</c:v>
                </c:pt>
                <c:pt idx="79">
                  <c:v>0.40871981316723316</c:v>
                </c:pt>
                <c:pt idx="80">
                  <c:v>0.40615728124030331</c:v>
                </c:pt>
                <c:pt idx="81">
                  <c:v>0.40364235129325243</c:v>
                </c:pt>
                <c:pt idx="82">
                  <c:v>0.40117356757577877</c:v>
                </c:pt>
                <c:pt idx="83">
                  <c:v>0.39849624060150374</c:v>
                </c:pt>
                <c:pt idx="84">
                  <c:v>0.39849624060150368</c:v>
                </c:pt>
                <c:pt idx="85">
                  <c:v>0.39849624060150379</c:v>
                </c:pt>
                <c:pt idx="86">
                  <c:v>0.39849624060150374</c:v>
                </c:pt>
                <c:pt idx="87">
                  <c:v>0.39849624060150379</c:v>
                </c:pt>
                <c:pt idx="88">
                  <c:v>0.39849624060150368</c:v>
                </c:pt>
                <c:pt idx="89">
                  <c:v>0.39849624060150379</c:v>
                </c:pt>
                <c:pt idx="90">
                  <c:v>0.39849624060150374</c:v>
                </c:pt>
                <c:pt idx="91">
                  <c:v>0.39849624060150374</c:v>
                </c:pt>
                <c:pt idx="92">
                  <c:v>0.39849624060150368</c:v>
                </c:pt>
                <c:pt idx="93">
                  <c:v>0.39849624060150379</c:v>
                </c:pt>
                <c:pt idx="94">
                  <c:v>0.39849624060150374</c:v>
                </c:pt>
                <c:pt idx="95">
                  <c:v>0.39849624060150379</c:v>
                </c:pt>
                <c:pt idx="96">
                  <c:v>0.39849624060150374</c:v>
                </c:pt>
                <c:pt idx="97">
                  <c:v>0.39849624060150363</c:v>
                </c:pt>
                <c:pt idx="98">
                  <c:v>0.39849624060150368</c:v>
                </c:pt>
                <c:pt idx="99">
                  <c:v>0.39849624060150379</c:v>
                </c:pt>
                <c:pt idx="100">
                  <c:v>0.39849624060150368</c:v>
                </c:pt>
              </c:numCache>
            </c:numRef>
          </c:val>
          <c:smooth val="0"/>
        </c:ser>
        <c:ser>
          <c:idx val="7"/>
          <c:order val="7"/>
          <c:spPr>
            <a:ln w="31750">
              <a:solidFill>
                <a:srgbClr val="00B050"/>
              </a:solidFill>
            </a:ln>
          </c:spPr>
          <c:marker>
            <c:symbol val="none"/>
          </c:marker>
          <c:val>
            <c:numRef>
              <c:f>'Calculations - Single'!$AW$110:$AW$210</c:f>
              <c:numCache>
                <c:formatCode>0.000</c:formatCode>
                <c:ptCount val="101"/>
                <c:pt idx="0">
                  <c:v>7.4999999999999997E-3</c:v>
                </c:pt>
                <c:pt idx="1">
                  <c:v>2.944444444444444E-2</c:v>
                </c:pt>
                <c:pt idx="2">
                  <c:v>5.888888888888888E-2</c:v>
                </c:pt>
                <c:pt idx="3">
                  <c:v>8.8333333333333305E-2</c:v>
                </c:pt>
                <c:pt idx="4">
                  <c:v>0.11777777777777776</c:v>
                </c:pt>
                <c:pt idx="5">
                  <c:v>0.1472222222222222</c:v>
                </c:pt>
                <c:pt idx="6">
                  <c:v>0.17666666666666661</c:v>
                </c:pt>
                <c:pt idx="7">
                  <c:v>0.20611111111111108</c:v>
                </c:pt>
                <c:pt idx="8">
                  <c:v>0.23555555555555552</c:v>
                </c:pt>
                <c:pt idx="9">
                  <c:v>0.2637470378980587</c:v>
                </c:pt>
                <c:pt idx="10">
                  <c:v>0.27801378862687126</c:v>
                </c:pt>
                <c:pt idx="11">
                  <c:v>0.29158332142516885</c:v>
                </c:pt>
                <c:pt idx="12">
                  <c:v>0.30454884665682119</c:v>
                </c:pt>
                <c:pt idx="13">
                  <c:v>0.31698448963106485</c:v>
                </c:pt>
                <c:pt idx="14">
                  <c:v>0.32895035086367264</c:v>
                </c:pt>
                <c:pt idx="15">
                  <c:v>0.34049596179690589</c:v>
                </c:pt>
                <c:pt idx="16">
                  <c:v>0.35166271719741155</c:v>
                </c:pt>
                <c:pt idx="17">
                  <c:v>0.36248563189916</c:v>
                </c:pt>
                <c:pt idx="18">
                  <c:v>0.37299463803116528</c:v>
                </c:pt>
                <c:pt idx="19">
                  <c:v>0.38321556161861003</c:v>
                </c:pt>
                <c:pt idx="20">
                  <c:v>0.39317087040284837</c:v>
                </c:pt>
                <c:pt idx="21">
                  <c:v>0.40288025516274678</c:v>
                </c:pt>
                <c:pt idx="22">
                  <c:v>0.41236108772126717</c:v>
                </c:pt>
                <c:pt idx="23">
                  <c:v>0.42162878617728805</c:v>
                </c:pt>
                <c:pt idx="24">
                  <c:v>0.43069710934716054</c:v>
                </c:pt>
                <c:pt idx="25">
                  <c:v>0.4395783964967645</c:v>
                </c:pt>
                <c:pt idx="26">
                  <c:v>0.44828376429816569</c:v>
                </c:pt>
                <c:pt idx="27">
                  <c:v>0.45682326998523187</c:v>
                </c:pt>
                <c:pt idx="28">
                  <c:v>0.46520604753879397</c:v>
                </c:pt>
                <c:pt idx="29">
                  <c:v>0.47344042215819859</c:v>
                </c:pt>
                <c:pt idx="30">
                  <c:v>0.48153400710645561</c:v>
                </c:pt>
                <c:pt idx="31">
                  <c:v>0.48949378613693001</c:v>
                </c:pt>
                <c:pt idx="32">
                  <c:v>0.49732618404155371</c:v>
                </c:pt>
                <c:pt idx="33">
                  <c:v>0.50503712734807915</c:v>
                </c:pt>
                <c:pt idx="34">
                  <c:v>0.51263209679717348</c:v>
                </c:pt>
                <c:pt idx="35">
                  <c:v>0.52011617292037104</c:v>
                </c:pt>
                <c:pt idx="36">
                  <c:v>0.5274940757961174</c:v>
                </c:pt>
                <c:pt idx="37">
                  <c:v>0.5347701998678186</c:v>
                </c:pt>
                <c:pt idx="38">
                  <c:v>0.5419486445534607</c:v>
                </c:pt>
                <c:pt idx="39">
                  <c:v>0.54903324125229436</c:v>
                </c:pt>
                <c:pt idx="40">
                  <c:v>0.55602757725374252</c:v>
                </c:pt>
                <c:pt idx="41">
                  <c:v>0.55039686598510396</c:v>
                </c:pt>
                <c:pt idx="42">
                  <c:v>0.54380504896023862</c:v>
                </c:pt>
                <c:pt idx="43">
                  <c:v>0.56989247311827951</c:v>
                </c:pt>
                <c:pt idx="44">
                  <c:v>0.56989247311827951</c:v>
                </c:pt>
                <c:pt idx="45">
                  <c:v>0.56989247311827962</c:v>
                </c:pt>
                <c:pt idx="46">
                  <c:v>0.56989247311827951</c:v>
                </c:pt>
                <c:pt idx="47">
                  <c:v>0.56989247311827951</c:v>
                </c:pt>
                <c:pt idx="48">
                  <c:v>0.56989247311827951</c:v>
                </c:pt>
                <c:pt idx="49">
                  <c:v>0.56989247311827962</c:v>
                </c:pt>
                <c:pt idx="50">
                  <c:v>0.56989247311827962</c:v>
                </c:pt>
                <c:pt idx="51">
                  <c:v>0.5698924731182794</c:v>
                </c:pt>
                <c:pt idx="52">
                  <c:v>0.5698924731182794</c:v>
                </c:pt>
                <c:pt idx="53">
                  <c:v>0.56989247311827962</c:v>
                </c:pt>
                <c:pt idx="54">
                  <c:v>0.56989247311827962</c:v>
                </c:pt>
                <c:pt idx="55">
                  <c:v>0.56989247311827951</c:v>
                </c:pt>
                <c:pt idx="56">
                  <c:v>0.5698924731182794</c:v>
                </c:pt>
                <c:pt idx="57">
                  <c:v>0.56989247311827951</c:v>
                </c:pt>
                <c:pt idx="58">
                  <c:v>0.56989247311827962</c:v>
                </c:pt>
                <c:pt idx="59">
                  <c:v>0.56989247311827951</c:v>
                </c:pt>
                <c:pt idx="60">
                  <c:v>0.56989247311827962</c:v>
                </c:pt>
                <c:pt idx="61">
                  <c:v>0.5698924731182794</c:v>
                </c:pt>
                <c:pt idx="62">
                  <c:v>0.56989247311827962</c:v>
                </c:pt>
                <c:pt idx="63">
                  <c:v>0.56989247311827951</c:v>
                </c:pt>
                <c:pt idx="64">
                  <c:v>0.56989247311827951</c:v>
                </c:pt>
                <c:pt idx="65">
                  <c:v>0.56989247311827951</c:v>
                </c:pt>
                <c:pt idx="66">
                  <c:v>0.56989247311827951</c:v>
                </c:pt>
                <c:pt idx="67">
                  <c:v>0.56989247311827951</c:v>
                </c:pt>
                <c:pt idx="68">
                  <c:v>0.56989247311827951</c:v>
                </c:pt>
                <c:pt idx="69">
                  <c:v>0.56989247311827951</c:v>
                </c:pt>
                <c:pt idx="70">
                  <c:v>0.5698924731182794</c:v>
                </c:pt>
                <c:pt idx="71">
                  <c:v>0.56989247311827962</c:v>
                </c:pt>
                <c:pt idx="72">
                  <c:v>0.56989247311827951</c:v>
                </c:pt>
                <c:pt idx="73">
                  <c:v>0.56989247311827951</c:v>
                </c:pt>
                <c:pt idx="74">
                  <c:v>0.56989247311827951</c:v>
                </c:pt>
                <c:pt idx="75">
                  <c:v>0.56989247311827962</c:v>
                </c:pt>
                <c:pt idx="76">
                  <c:v>0.56989247311827962</c:v>
                </c:pt>
                <c:pt idx="77">
                  <c:v>0.56989247311827951</c:v>
                </c:pt>
                <c:pt idx="78">
                  <c:v>0.56989247311827951</c:v>
                </c:pt>
                <c:pt idx="79">
                  <c:v>0.56989247311827951</c:v>
                </c:pt>
                <c:pt idx="80">
                  <c:v>0.56989247311827962</c:v>
                </c:pt>
                <c:pt idx="81">
                  <c:v>0.56989247311827951</c:v>
                </c:pt>
                <c:pt idx="82">
                  <c:v>0.56989247311827962</c:v>
                </c:pt>
                <c:pt idx="83">
                  <c:v>0.56989247311827951</c:v>
                </c:pt>
                <c:pt idx="84">
                  <c:v>0.56989247311827962</c:v>
                </c:pt>
                <c:pt idx="85">
                  <c:v>0.56989247311827973</c:v>
                </c:pt>
                <c:pt idx="86">
                  <c:v>0.56989247311827951</c:v>
                </c:pt>
                <c:pt idx="87">
                  <c:v>0.56989247311827951</c:v>
                </c:pt>
                <c:pt idx="88">
                  <c:v>0.56989247311827951</c:v>
                </c:pt>
                <c:pt idx="89">
                  <c:v>0.56989247311827962</c:v>
                </c:pt>
                <c:pt idx="90">
                  <c:v>0.56989247311827962</c:v>
                </c:pt>
                <c:pt idx="91">
                  <c:v>0.5698924731182794</c:v>
                </c:pt>
                <c:pt idx="92">
                  <c:v>0.56989247311827951</c:v>
                </c:pt>
                <c:pt idx="93">
                  <c:v>0.56704053313905745</c:v>
                </c:pt>
                <c:pt idx="94">
                  <c:v>0.56284294635298682</c:v>
                </c:pt>
                <c:pt idx="95">
                  <c:v>0.55866036455461243</c:v>
                </c:pt>
                <c:pt idx="96">
                  <c:v>0.55449301015870434</c:v>
                </c:pt>
                <c:pt idx="97">
                  <c:v>0.5503411077150705</c:v>
                </c:pt>
                <c:pt idx="98">
                  <c:v>0.54620488384883226</c:v>
                </c:pt>
                <c:pt idx="99">
                  <c:v>0.54208456719568066</c:v>
                </c:pt>
                <c:pt idx="100">
                  <c:v>0.53798038833196316</c:v>
                </c:pt>
              </c:numCache>
            </c:numRef>
          </c:val>
          <c:smooth val="0"/>
        </c:ser>
        <c:ser>
          <c:idx val="8"/>
          <c:order val="8"/>
          <c:spPr>
            <a:ln w="31750">
              <a:solidFill>
                <a:srgbClr val="0000FF"/>
              </a:solidFill>
            </a:ln>
          </c:spPr>
          <c:marker>
            <c:symbol val="none"/>
          </c:marker>
          <c:val>
            <c:numRef>
              <c:f>'Calculations - Single'!$AW$216:$AW$316</c:f>
              <c:numCache>
                <c:formatCode>0.000</c:formatCode>
                <c:ptCount val="101"/>
                <c:pt idx="0">
                  <c:v>1.8749999999999999E-3</c:v>
                </c:pt>
                <c:pt idx="1">
                  <c:v>7.3611111111111099E-3</c:v>
                </c:pt>
                <c:pt idx="2">
                  <c:v>1.472222222222222E-2</c:v>
                </c:pt>
                <c:pt idx="3">
                  <c:v>2.2083333333333326E-2</c:v>
                </c:pt>
                <c:pt idx="4">
                  <c:v>2.944444444444444E-2</c:v>
                </c:pt>
                <c:pt idx="5">
                  <c:v>3.680555555555555E-2</c:v>
                </c:pt>
                <c:pt idx="6">
                  <c:v>4.4166666666666653E-2</c:v>
                </c:pt>
                <c:pt idx="7">
                  <c:v>5.152777777777777E-2</c:v>
                </c:pt>
                <c:pt idx="8">
                  <c:v>5.888888888888888E-2</c:v>
                </c:pt>
                <c:pt idx="9">
                  <c:v>6.5936759474514675E-2</c:v>
                </c:pt>
                <c:pt idx="10">
                  <c:v>6.9503447156717815E-2</c:v>
                </c:pt>
                <c:pt idx="11">
                  <c:v>7.2895830356292213E-2</c:v>
                </c:pt>
                <c:pt idx="12">
                  <c:v>7.6137211664205298E-2</c:v>
                </c:pt>
                <c:pt idx="13">
                  <c:v>7.9246122407766212E-2</c:v>
                </c:pt>
                <c:pt idx="14">
                  <c:v>8.2237587715918159E-2</c:v>
                </c:pt>
                <c:pt idx="15">
                  <c:v>8.5123990449226472E-2</c:v>
                </c:pt>
                <c:pt idx="16">
                  <c:v>8.7915679299352886E-2</c:v>
                </c:pt>
                <c:pt idx="17">
                  <c:v>9.062140797479E-2</c:v>
                </c:pt>
                <c:pt idx="18">
                  <c:v>9.3248659507791321E-2</c:v>
                </c:pt>
                <c:pt idx="19">
                  <c:v>9.5803890404652509E-2</c:v>
                </c:pt>
                <c:pt idx="20">
                  <c:v>9.8292717600712093E-2</c:v>
                </c:pt>
                <c:pt idx="21">
                  <c:v>0.1007200637906867</c:v>
                </c:pt>
                <c:pt idx="22">
                  <c:v>0.10309027193031679</c:v>
                </c:pt>
                <c:pt idx="23">
                  <c:v>0.10540719654432201</c:v>
                </c:pt>
                <c:pt idx="24">
                  <c:v>0.10767427733679014</c:v>
                </c:pt>
                <c:pt idx="25">
                  <c:v>0.10989459912419113</c:v>
                </c:pt>
                <c:pt idx="26">
                  <c:v>0.11207094107454142</c:v>
                </c:pt>
                <c:pt idx="27">
                  <c:v>0.11420581749630797</c:v>
                </c:pt>
                <c:pt idx="28">
                  <c:v>0.11630151188469849</c:v>
                </c:pt>
                <c:pt idx="29">
                  <c:v>0.11836010553954965</c:v>
                </c:pt>
                <c:pt idx="30">
                  <c:v>0.1203835017766139</c:v>
                </c:pt>
                <c:pt idx="31">
                  <c:v>0.1223734465342325</c:v>
                </c:pt>
                <c:pt idx="32">
                  <c:v>0.12433154601038843</c:v>
                </c:pt>
                <c:pt idx="33">
                  <c:v>0.12625928183701979</c:v>
                </c:pt>
                <c:pt idx="34">
                  <c:v>0.12815802419929337</c:v>
                </c:pt>
                <c:pt idx="35">
                  <c:v>0.13002904323009276</c:v>
                </c:pt>
                <c:pt idx="36">
                  <c:v>0.13187351894902935</c:v>
                </c:pt>
                <c:pt idx="37">
                  <c:v>0.13369254996695465</c:v>
                </c:pt>
                <c:pt idx="38">
                  <c:v>0.13548716113836518</c:v>
                </c:pt>
                <c:pt idx="39">
                  <c:v>0.13725831031307359</c:v>
                </c:pt>
                <c:pt idx="40">
                  <c:v>0.13900689431343563</c:v>
                </c:pt>
                <c:pt idx="41">
                  <c:v>0.14073375424301496</c:v>
                </c:pt>
                <c:pt idx="42">
                  <c:v>0.14243968021587242</c:v>
                </c:pt>
                <c:pt idx="43">
                  <c:v>0.14412541558193914</c:v>
                </c:pt>
                <c:pt idx="44">
                  <c:v>0.14579166071258443</c:v>
                </c:pt>
                <c:pt idx="45">
                  <c:v>0.1474390764010681</c:v>
                </c:pt>
                <c:pt idx="46">
                  <c:v>0.14906828692470661</c:v>
                </c:pt>
                <c:pt idx="47">
                  <c:v>0.15067988280899786</c:v>
                </c:pt>
                <c:pt idx="48">
                  <c:v>0.1522744233284106</c:v>
                </c:pt>
                <c:pt idx="49">
                  <c:v>0.15385243877386756</c:v>
                </c:pt>
                <c:pt idx="50">
                  <c:v>0.15541443251298553</c:v>
                </c:pt>
                <c:pt idx="51">
                  <c:v>0.15696088286576373</c:v>
                </c:pt>
                <c:pt idx="52">
                  <c:v>0.15849224481553242</c:v>
                </c:pt>
                <c:pt idx="53">
                  <c:v>0.16000895157250838</c:v>
                </c:pt>
                <c:pt idx="54">
                  <c:v>0.16151141600518523</c:v>
                </c:pt>
                <c:pt idx="55">
                  <c:v>0.16300003195296209</c:v>
                </c:pt>
                <c:pt idx="56">
                  <c:v>0.16447517543183632</c:v>
                </c:pt>
                <c:pt idx="57">
                  <c:v>0.16593720574361856</c:v>
                </c:pt>
                <c:pt idx="58">
                  <c:v>0.167386466497942</c:v>
                </c:pt>
                <c:pt idx="59">
                  <c:v>0.16882328655530118</c:v>
                </c:pt>
                <c:pt idx="60">
                  <c:v>0.17024798089845294</c:v>
                </c:pt>
                <c:pt idx="61">
                  <c:v>0.17166085143872106</c:v>
                </c:pt>
                <c:pt idx="62">
                  <c:v>0.17306218776305049</c:v>
                </c:pt>
                <c:pt idx="63">
                  <c:v>0.17445226782704776</c:v>
                </c:pt>
                <c:pt idx="64">
                  <c:v>0.17583135859870577</c:v>
                </c:pt>
                <c:pt idx="65">
                  <c:v>0.17719971665703457</c:v>
                </c:pt>
                <c:pt idx="66">
                  <c:v>0.17855758874940042</c:v>
                </c:pt>
                <c:pt idx="67">
                  <c:v>0.17990521231100184</c:v>
                </c:pt>
                <c:pt idx="68">
                  <c:v>0.18124281594958</c:v>
                </c:pt>
                <c:pt idx="69">
                  <c:v>0.18257061989816431</c:v>
                </c:pt>
                <c:pt idx="70">
                  <c:v>0.18388883643839468</c:v>
                </c:pt>
                <c:pt idx="71">
                  <c:v>0.18519767029672196</c:v>
                </c:pt>
                <c:pt idx="72">
                  <c:v>0.18649731901558264</c:v>
                </c:pt>
                <c:pt idx="73">
                  <c:v>0.1877879733014515</c:v>
                </c:pt>
                <c:pt idx="74">
                  <c:v>0.18906981735150993</c:v>
                </c:pt>
                <c:pt idx="75">
                  <c:v>0.19034302916051324</c:v>
                </c:pt>
                <c:pt idx="76">
                  <c:v>0.19160778080930502</c:v>
                </c:pt>
                <c:pt idx="77">
                  <c:v>0.1928642387363021</c:v>
                </c:pt>
                <c:pt idx="78">
                  <c:v>0.19411256399316351</c:v>
                </c:pt>
                <c:pt idx="79">
                  <c:v>0.19535291248575404</c:v>
                </c:pt>
                <c:pt idx="80">
                  <c:v>0.19658543520142419</c:v>
                </c:pt>
                <c:pt idx="81">
                  <c:v>0.19781027842354401</c:v>
                </c:pt>
                <c:pt idx="82">
                  <c:v>0.19902758393415387</c:v>
                </c:pt>
                <c:pt idx="83">
                  <c:v>0.20023748920552645</c:v>
                </c:pt>
                <c:pt idx="84">
                  <c:v>0.20144012758137339</c:v>
                </c:pt>
                <c:pt idx="85">
                  <c:v>0.20263562844837199</c:v>
                </c:pt>
                <c:pt idx="86">
                  <c:v>0.20382411739863693</c:v>
                </c:pt>
                <c:pt idx="87">
                  <c:v>0.20500571638371454</c:v>
                </c:pt>
                <c:pt idx="88">
                  <c:v>0.20618054386063359</c:v>
                </c:pt>
                <c:pt idx="89">
                  <c:v>0.2073487149305086</c:v>
                </c:pt>
                <c:pt idx="90">
                  <c:v>0.20851034147015343</c:v>
                </c:pt>
                <c:pt idx="91">
                  <c:v>0.2096655322571325</c:v>
                </c:pt>
                <c:pt idx="92">
                  <c:v>0.21081439308864403</c:v>
                </c:pt>
                <c:pt idx="93">
                  <c:v>0.21195702689460424</c:v>
                </c:pt>
                <c:pt idx="94">
                  <c:v>0.21309353384527338</c:v>
                </c:pt>
                <c:pt idx="95">
                  <c:v>0.21422401145374279</c:v>
                </c:pt>
                <c:pt idx="96">
                  <c:v>0.21534855467358027</c:v>
                </c:pt>
                <c:pt idx="97">
                  <c:v>0.216467255991909</c:v>
                </c:pt>
                <c:pt idx="98">
                  <c:v>0.21758020551817969</c:v>
                </c:pt>
                <c:pt idx="99">
                  <c:v>0.21868749106887661</c:v>
                </c:pt>
                <c:pt idx="100">
                  <c:v>0.21978919824838225</c:v>
                </c:pt>
              </c:numCache>
            </c:numRef>
          </c:val>
          <c:smooth val="0"/>
        </c:ser>
        <c:dLbls>
          <c:showLegendKey val="0"/>
          <c:showVal val="0"/>
          <c:showCatName val="0"/>
          <c:showSerName val="0"/>
          <c:showPercent val="0"/>
          <c:showBubbleSize val="0"/>
        </c:dLbls>
        <c:marker val="1"/>
        <c:smooth val="0"/>
        <c:axId val="151802240"/>
        <c:axId val="151800064"/>
      </c:lineChart>
      <c:catAx>
        <c:axId val="151783680"/>
        <c:scaling>
          <c:orientation val="minMax"/>
        </c:scaling>
        <c:delete val="0"/>
        <c:axPos val="b"/>
        <c:majorGridlines>
          <c:spPr>
            <a:ln w="15875">
              <a:solidFill>
                <a:srgbClr val="969696"/>
              </a:solidFill>
              <a:prstDash val="sysDash"/>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51798144"/>
        <c:crosses val="autoZero"/>
        <c:auto val="1"/>
        <c:lblAlgn val="ctr"/>
        <c:lblOffset val="100"/>
        <c:tickLblSkip val="20"/>
        <c:tickMarkSkip val="10"/>
        <c:noMultiLvlLbl val="0"/>
      </c:catAx>
      <c:valAx>
        <c:axId val="151798144"/>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51783680"/>
        <c:crossesAt val="0"/>
        <c:crossBetween val="between"/>
        <c:majorUnit val="50"/>
        <c:minorUnit val="25"/>
      </c:valAx>
      <c:valAx>
        <c:axId val="151800064"/>
        <c:scaling>
          <c:orientation val="minMax"/>
          <c:min val="0"/>
        </c:scaling>
        <c:delete val="0"/>
        <c:axPos val="r"/>
        <c:title>
          <c:tx>
            <c:rich>
              <a:bodyPr rot="-5400000" vert="horz"/>
              <a:lstStyle/>
              <a:p>
                <a:pPr>
                  <a:defRPr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sz="1200" b="1"/>
            </a:pPr>
            <a:endParaRPr lang="en-US"/>
          </a:p>
        </c:txPr>
        <c:crossAx val="151802240"/>
        <c:crosses val="max"/>
        <c:crossBetween val="between"/>
        <c:majorUnit val="0.1"/>
        <c:minorUnit val="2.0000000000000004E-2"/>
      </c:valAx>
      <c:catAx>
        <c:axId val="151802240"/>
        <c:scaling>
          <c:orientation val="minMax"/>
        </c:scaling>
        <c:delete val="1"/>
        <c:axPos val="b"/>
        <c:majorTickMark val="out"/>
        <c:minorTickMark val="none"/>
        <c:tickLblPos val="nextTo"/>
        <c:crossAx val="151800064"/>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340.29553760874938</c:v>
                </c:pt>
                <c:pt idx="32">
                  <c:v>329.661302058476</c:v>
                </c:pt>
                <c:pt idx="33">
                  <c:v>319.67156563246152</c:v>
                </c:pt>
                <c:pt idx="34">
                  <c:v>310.26946076091861</c:v>
                </c:pt>
                <c:pt idx="35">
                  <c:v>301.40461902489238</c:v>
                </c:pt>
                <c:pt idx="36">
                  <c:v>293.03226849642317</c:v>
                </c:pt>
                <c:pt idx="37">
                  <c:v>285.11247745597922</c:v>
                </c:pt>
                <c:pt idx="38">
                  <c:v>277.60951752292709</c:v>
                </c:pt>
                <c:pt idx="39">
                  <c:v>270.49132476592899</c:v>
                </c:pt>
                <c:pt idx="40">
                  <c:v>263.72904164678079</c:v>
                </c:pt>
                <c:pt idx="41">
                  <c:v>257.29662599685929</c:v>
                </c:pt>
                <c:pt idx="42">
                  <c:v>251.17051585407697</c:v>
                </c:pt>
                <c:pt idx="43">
                  <c:v>245.32934106677288</c:v>
                </c:pt>
                <c:pt idx="44">
                  <c:v>239.75367422434616</c:v>
                </c:pt>
                <c:pt idx="45">
                  <c:v>234.42581479713851</c:v>
                </c:pt>
                <c:pt idx="46">
                  <c:v>229.32960143198329</c:v>
                </c:pt>
                <c:pt idx="47">
                  <c:v>224.45024821002625</c:v>
                </c:pt>
                <c:pt idx="48">
                  <c:v>219.77420137231732</c:v>
                </c:pt>
                <c:pt idx="49">
                  <c:v>215.28901358920882</c:v>
                </c:pt>
                <c:pt idx="50">
                  <c:v>210.98323331742461</c:v>
                </c:pt>
                <c:pt idx="51">
                  <c:v>206.84630717394575</c:v>
                </c:pt>
                <c:pt idx="52">
                  <c:v>202.86849357444675</c:v>
                </c:pt>
                <c:pt idx="53">
                  <c:v>199.0407861485138</c:v>
                </c:pt>
                <c:pt idx="54">
                  <c:v>195.35484566428207</c:v>
                </c:pt>
                <c:pt idx="55">
                  <c:v>191.80293937947692</c:v>
                </c:pt>
                <c:pt idx="56">
                  <c:v>188.3778868905577</c:v>
                </c:pt>
                <c:pt idx="57">
                  <c:v>185.07301168195147</c:v>
                </c:pt>
                <c:pt idx="58">
                  <c:v>181.88209768743505</c:v>
                </c:pt>
                <c:pt idx="59">
                  <c:v>178.79935026900392</c:v>
                </c:pt>
                <c:pt idx="60">
                  <c:v>175.81936109785386</c:v>
                </c:pt>
                <c:pt idx="61">
                  <c:v>172.93707648969232</c:v>
                </c:pt>
                <c:pt idx="62">
                  <c:v>170.14776880437469</c:v>
                </c:pt>
                <c:pt idx="63">
                  <c:v>167.44701056938464</c:v>
                </c:pt>
                <c:pt idx="64">
                  <c:v>164.830651029238</c:v>
                </c:pt>
                <c:pt idx="65">
                  <c:v>162.29479485955744</c:v>
                </c:pt>
                <c:pt idx="66">
                  <c:v>159.83578281623076</c:v>
                </c:pt>
                <c:pt idx="67">
                  <c:v>157.45017411748108</c:v>
                </c:pt>
                <c:pt idx="68">
                  <c:v>155.1347303804593</c:v>
                </c:pt>
                <c:pt idx="69">
                  <c:v>152.88640095465553</c:v>
                </c:pt>
                <c:pt idx="70">
                  <c:v>151.45408553743735</c:v>
                </c:pt>
                <c:pt idx="71">
                  <c:v>150.57843810799054</c:v>
                </c:pt>
                <c:pt idx="72">
                  <c:v>149.71425836149973</c:v>
                </c:pt>
                <c:pt idx="73">
                  <c:v>148.86132248832078</c:v>
                </c:pt>
                <c:pt idx="74">
                  <c:v>148.0194124651569</c:v>
                </c:pt>
                <c:pt idx="75">
                  <c:v>147.18831586925987</c:v>
                </c:pt>
                <c:pt idx="76">
                  <c:v>146.36782569974534</c:v>
                </c:pt>
                <c:pt idx="77">
                  <c:v>145.55774020570536</c:v>
                </c:pt>
                <c:pt idx="78">
                  <c:v>144.75786272081899</c:v>
                </c:pt>
                <c:pt idx="79">
                  <c:v>143.96800150417624</c:v>
                </c:pt>
                <c:pt idx="80">
                  <c:v>143.18796958704417</c:v>
                </c:pt>
                <c:pt idx="81">
                  <c:v>142.41758462531874</c:v>
                </c:pt>
                <c:pt idx="82">
                  <c:v>141.65666875741698</c:v>
                </c:pt>
                <c:pt idx="83">
                  <c:v>140.90504846737741</c:v>
                </c:pt>
                <c:pt idx="84">
                  <c:v>140.16255445294743</c:v>
                </c:pt>
                <c:pt idx="85">
                  <c:v>139.42902149844628</c:v>
                </c:pt>
                <c:pt idx="86">
                  <c:v>138.70428835220423</c:v>
                </c:pt>
                <c:pt idx="87">
                  <c:v>137.98819760838578</c:v>
                </c:pt>
                <c:pt idx="88">
                  <c:v>137.28059559301607</c:v>
                </c:pt>
                <c:pt idx="89">
                  <c:v>136.58133225403631</c:v>
                </c:pt>
                <c:pt idx="90">
                  <c:v>135.89026105522333</c:v>
                </c:pt>
                <c:pt idx="91">
                  <c:v>135.2072388738159</c:v>
                </c:pt>
                <c:pt idx="92">
                  <c:v>134.53212590169724</c:v>
                </c:pt>
                <c:pt idx="93">
                  <c:v>133.86478554999098</c:v>
                </c:pt>
                <c:pt idx="94">
                  <c:v>133.2050843569329</c:v>
                </c:pt>
                <c:pt idx="95">
                  <c:v>132.55289189888884</c:v>
                </c:pt>
                <c:pt idx="96">
                  <c:v>131.90808070439388</c:v>
                </c:pt>
                <c:pt idx="97">
                  <c:v>131.27052617109331</c:v>
                </c:pt>
                <c:pt idx="98">
                  <c:v>130.64010648547253</c:v>
                </c:pt>
                <c:pt idx="99">
                  <c:v>130.01670254526675</c:v>
                </c:pt>
                <c:pt idx="100">
                  <c:v>129.40019788444673</c:v>
                </c:pt>
              </c:numCache>
            </c:numRef>
          </c:val>
          <c:smooth val="0"/>
        </c:ser>
        <c:ser>
          <c:idx val="10"/>
          <c:order val="7"/>
          <c:tx>
            <c:v>VIN-nom</c:v>
          </c:tx>
          <c:spPr>
            <a:ln w="28575">
              <a:solidFill>
                <a:srgbClr val="0000FF"/>
              </a:solidFill>
              <a:prstDash val="lgDash"/>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349.69429147529314</c:v>
                </c:pt>
                <c:pt idx="60">
                  <c:v>343.86605328403829</c:v>
                </c:pt>
                <c:pt idx="61">
                  <c:v>338.22890486954583</c:v>
                </c:pt>
                <c:pt idx="62">
                  <c:v>332.77359995229506</c:v>
                </c:pt>
                <c:pt idx="63">
                  <c:v>327.49147931813172</c:v>
                </c:pt>
                <c:pt idx="64">
                  <c:v>322.37442495378588</c:v>
                </c:pt>
                <c:pt idx="65">
                  <c:v>317.41481841603536</c:v>
                </c:pt>
                <c:pt idx="66">
                  <c:v>312.6055029854893</c:v>
                </c:pt>
                <c:pt idx="67">
                  <c:v>307.93974920958658</c:v>
                </c:pt>
                <c:pt idx="68">
                  <c:v>303.41122348591614</c:v>
                </c:pt>
                <c:pt idx="69">
                  <c:v>299.01395937742461</c:v>
                </c:pt>
                <c:pt idx="70">
                  <c:v>294.74233138631854</c:v>
                </c:pt>
                <c:pt idx="71">
                  <c:v>290.59103094425768</c:v>
                </c:pt>
                <c:pt idx="72">
                  <c:v>286.55504440336529</c:v>
                </c:pt>
                <c:pt idx="73">
                  <c:v>282.62963283619587</c:v>
                </c:pt>
                <c:pt idx="74">
                  <c:v>278.81031347354451</c:v>
                </c:pt>
                <c:pt idx="75">
                  <c:v>275.0928426272306</c:v>
                </c:pt>
                <c:pt idx="76">
                  <c:v>271.4731999610828</c:v>
                </c:pt>
                <c:pt idx="77">
                  <c:v>267.94757398756224</c:v>
                </c:pt>
                <c:pt idx="78">
                  <c:v>264.51234868002945</c:v>
                </c:pt>
                <c:pt idx="79">
                  <c:v>261.16409110180126</c:v>
                </c:pt>
                <c:pt idx="80">
                  <c:v>257.89953996302864</c:v>
                </c:pt>
                <c:pt idx="81">
                  <c:v>254.7155950252135</c:v>
                </c:pt>
                <c:pt idx="82">
                  <c:v>251.60930728100362</c:v>
                </c:pt>
                <c:pt idx="83">
                  <c:v>248.57786984388321</c:v>
                </c:pt>
                <c:pt idx="84">
                  <c:v>245.61860948859876</c:v>
                </c:pt>
                <c:pt idx="85">
                  <c:v>242.72897878873292</c:v>
                </c:pt>
                <c:pt idx="86">
                  <c:v>239.90654880281741</c:v>
                </c:pt>
                <c:pt idx="87">
                  <c:v>237.14900226485403</c:v>
                </c:pt>
                <c:pt idx="88">
                  <c:v>234.45412723911704</c:v>
                </c:pt>
                <c:pt idx="89">
                  <c:v>231.81981120272246</c:v>
                </c:pt>
                <c:pt idx="90">
                  <c:v>229.2440355226922</c:v>
                </c:pt>
                <c:pt idx="91">
                  <c:v>226.72487029716811</c:v>
                </c:pt>
                <c:pt idx="92">
                  <c:v>224.26046953306843</c:v>
                </c:pt>
                <c:pt idx="93">
                  <c:v>221.84906663486339</c:v>
                </c:pt>
                <c:pt idx="94">
                  <c:v>219.48897018130106</c:v>
                </c:pt>
                <c:pt idx="95">
                  <c:v>217.17855996886627</c:v>
                </c:pt>
                <c:pt idx="96">
                  <c:v>214.91628330252394</c:v>
                </c:pt>
                <c:pt idx="97">
                  <c:v>212.70065151590001</c:v>
                </c:pt>
                <c:pt idx="98">
                  <c:v>211.39176243910754</c:v>
                </c:pt>
                <c:pt idx="99">
                  <c:v>210.17183418471973</c:v>
                </c:pt>
                <c:pt idx="100">
                  <c:v>208.96730126135304</c:v>
                </c:pt>
              </c:numCache>
            </c:numRef>
          </c:val>
          <c:smooth val="0"/>
        </c:ser>
        <c:ser>
          <c:idx val="11"/>
          <c:order val="8"/>
          <c:tx>
            <c:v>VIN-max</c:v>
          </c:tx>
          <c:spPr>
            <a:ln>
              <a:solidFill>
                <a:srgbClr val="FF0000"/>
              </a:solidFill>
              <a:prstDash val="solid"/>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349.74925130114821</c:v>
                </c:pt>
                <c:pt idx="93">
                  <c:v>345.98850666350137</c:v>
                </c:pt>
                <c:pt idx="94">
                  <c:v>342.30777786920879</c:v>
                </c:pt>
                <c:pt idx="95">
                  <c:v>338.70453810216458</c:v>
                </c:pt>
                <c:pt idx="96">
                  <c:v>335.17636583026706</c:v>
                </c:pt>
                <c:pt idx="97">
                  <c:v>331.7209393784085</c:v>
                </c:pt>
                <c:pt idx="98">
                  <c:v>328.33603183373089</c:v>
                </c:pt>
                <c:pt idx="99">
                  <c:v>325.01950625965281</c:v>
                </c:pt>
                <c:pt idx="100">
                  <c:v>321.76931119705631</c:v>
                </c:pt>
              </c:numCache>
            </c:numRef>
          </c:val>
          <c:smooth val="0"/>
        </c:ser>
        <c:ser>
          <c:idx val="12"/>
          <c:order val="9"/>
          <c:spPr>
            <a:ln>
              <a:noFill/>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Dual'!$CD$110:$CD$210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185.07301168195147</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13"/>
          <c:order val="10"/>
          <c:spPr>
            <a:ln>
              <a:noFill/>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Dual'!$CD$5:$CD$105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14"/>
          <c:order val="11"/>
          <c:spPr>
            <a:ln>
              <a:noFill/>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Dual'!$CD$216:$CD$316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1"/>
          <c:order val="0"/>
          <c:tx>
            <c:v>VIN-min</c:v>
          </c:tx>
          <c:spPr>
            <a:ln>
              <a:solidFill>
                <a:srgbClr val="00B050"/>
              </a:solidFill>
              <a:prstDash val="sysDash"/>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340.29553760874938</c:v>
                </c:pt>
                <c:pt idx="32">
                  <c:v>329.661302058476</c:v>
                </c:pt>
                <c:pt idx="33">
                  <c:v>319.67156563246152</c:v>
                </c:pt>
                <c:pt idx="34">
                  <c:v>310.26946076091861</c:v>
                </c:pt>
                <c:pt idx="35">
                  <c:v>301.40461902489238</c:v>
                </c:pt>
                <c:pt idx="36">
                  <c:v>293.03226849642317</c:v>
                </c:pt>
                <c:pt idx="37">
                  <c:v>285.11247745597922</c:v>
                </c:pt>
                <c:pt idx="38">
                  <c:v>277.60951752292709</c:v>
                </c:pt>
                <c:pt idx="39">
                  <c:v>270.49132476592899</c:v>
                </c:pt>
                <c:pt idx="40">
                  <c:v>263.72904164678079</c:v>
                </c:pt>
                <c:pt idx="41">
                  <c:v>257.29662599685929</c:v>
                </c:pt>
                <c:pt idx="42">
                  <c:v>251.17051585407697</c:v>
                </c:pt>
                <c:pt idx="43">
                  <c:v>245.32934106677288</c:v>
                </c:pt>
                <c:pt idx="44">
                  <c:v>239.75367422434616</c:v>
                </c:pt>
                <c:pt idx="45">
                  <c:v>234.42581479713851</c:v>
                </c:pt>
                <c:pt idx="46">
                  <c:v>229.32960143198329</c:v>
                </c:pt>
                <c:pt idx="47">
                  <c:v>224.45024821002625</c:v>
                </c:pt>
                <c:pt idx="48">
                  <c:v>219.77420137231732</c:v>
                </c:pt>
                <c:pt idx="49">
                  <c:v>215.28901358920882</c:v>
                </c:pt>
                <c:pt idx="50">
                  <c:v>210.98323331742461</c:v>
                </c:pt>
                <c:pt idx="51">
                  <c:v>206.84630717394575</c:v>
                </c:pt>
                <c:pt idx="52">
                  <c:v>202.86849357444675</c:v>
                </c:pt>
                <c:pt idx="53">
                  <c:v>199.0407861485138</c:v>
                </c:pt>
                <c:pt idx="54">
                  <c:v>195.35484566428207</c:v>
                </c:pt>
                <c:pt idx="55">
                  <c:v>191.80293937947692</c:v>
                </c:pt>
                <c:pt idx="56">
                  <c:v>188.3778868905577</c:v>
                </c:pt>
                <c:pt idx="57">
                  <c:v>185.07301168195147</c:v>
                </c:pt>
                <c:pt idx="58">
                  <c:v>181.88209768743505</c:v>
                </c:pt>
                <c:pt idx="59">
                  <c:v>178.79935026900392</c:v>
                </c:pt>
                <c:pt idx="60">
                  <c:v>175.81936109785386</c:v>
                </c:pt>
                <c:pt idx="61">
                  <c:v>172.93707648969232</c:v>
                </c:pt>
                <c:pt idx="62">
                  <c:v>170.14776880437469</c:v>
                </c:pt>
                <c:pt idx="63">
                  <c:v>167.44701056938464</c:v>
                </c:pt>
                <c:pt idx="64">
                  <c:v>164.830651029238</c:v>
                </c:pt>
                <c:pt idx="65">
                  <c:v>162.29479485955744</c:v>
                </c:pt>
                <c:pt idx="66">
                  <c:v>159.83578281623076</c:v>
                </c:pt>
                <c:pt idx="67">
                  <c:v>157.45017411748108</c:v>
                </c:pt>
                <c:pt idx="68">
                  <c:v>155.1347303804593</c:v>
                </c:pt>
                <c:pt idx="69">
                  <c:v>152.88640095465553</c:v>
                </c:pt>
                <c:pt idx="70">
                  <c:v>151.45408553743735</c:v>
                </c:pt>
                <c:pt idx="71">
                  <c:v>150.57843810799054</c:v>
                </c:pt>
                <c:pt idx="72">
                  <c:v>149.71425836149973</c:v>
                </c:pt>
                <c:pt idx="73">
                  <c:v>148.86132248832078</c:v>
                </c:pt>
                <c:pt idx="74">
                  <c:v>148.0194124651569</c:v>
                </c:pt>
                <c:pt idx="75">
                  <c:v>147.18831586925987</c:v>
                </c:pt>
                <c:pt idx="76">
                  <c:v>146.36782569974534</c:v>
                </c:pt>
                <c:pt idx="77">
                  <c:v>145.55774020570536</c:v>
                </c:pt>
                <c:pt idx="78">
                  <c:v>144.75786272081899</c:v>
                </c:pt>
                <c:pt idx="79">
                  <c:v>143.96800150417624</c:v>
                </c:pt>
                <c:pt idx="80">
                  <c:v>143.18796958704417</c:v>
                </c:pt>
                <c:pt idx="81">
                  <c:v>142.41758462531874</c:v>
                </c:pt>
                <c:pt idx="82">
                  <c:v>141.65666875741698</c:v>
                </c:pt>
                <c:pt idx="83">
                  <c:v>140.90504846737741</c:v>
                </c:pt>
                <c:pt idx="84">
                  <c:v>140.16255445294743</c:v>
                </c:pt>
                <c:pt idx="85">
                  <c:v>139.42902149844628</c:v>
                </c:pt>
                <c:pt idx="86">
                  <c:v>138.70428835220423</c:v>
                </c:pt>
                <c:pt idx="87">
                  <c:v>137.98819760838578</c:v>
                </c:pt>
                <c:pt idx="88">
                  <c:v>137.28059559301607</c:v>
                </c:pt>
                <c:pt idx="89">
                  <c:v>136.58133225403631</c:v>
                </c:pt>
                <c:pt idx="90">
                  <c:v>135.89026105522333</c:v>
                </c:pt>
                <c:pt idx="91">
                  <c:v>135.2072388738159</c:v>
                </c:pt>
                <c:pt idx="92">
                  <c:v>134.53212590169724</c:v>
                </c:pt>
                <c:pt idx="93">
                  <c:v>133.86478554999098</c:v>
                </c:pt>
                <c:pt idx="94">
                  <c:v>133.2050843569329</c:v>
                </c:pt>
                <c:pt idx="95">
                  <c:v>132.55289189888884</c:v>
                </c:pt>
                <c:pt idx="96">
                  <c:v>131.90808070439388</c:v>
                </c:pt>
                <c:pt idx="97">
                  <c:v>131.27052617109331</c:v>
                </c:pt>
                <c:pt idx="98">
                  <c:v>130.64010648547253</c:v>
                </c:pt>
                <c:pt idx="99">
                  <c:v>130.01670254526675</c:v>
                </c:pt>
                <c:pt idx="100">
                  <c:v>129.40019788444673</c:v>
                </c:pt>
              </c:numCache>
            </c:numRef>
          </c:val>
          <c:smooth val="0"/>
        </c:ser>
        <c:ser>
          <c:idx val="0"/>
          <c:order val="1"/>
          <c:tx>
            <c:v>VIN-nom</c:v>
          </c:tx>
          <c:spPr>
            <a:ln w="28575">
              <a:solidFill>
                <a:srgbClr val="0000FF"/>
              </a:solidFill>
              <a:prstDash val="lgDash"/>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349.69429147529314</c:v>
                </c:pt>
                <c:pt idx="60">
                  <c:v>343.86605328403829</c:v>
                </c:pt>
                <c:pt idx="61">
                  <c:v>338.22890486954583</c:v>
                </c:pt>
                <c:pt idx="62">
                  <c:v>332.77359995229506</c:v>
                </c:pt>
                <c:pt idx="63">
                  <c:v>327.49147931813172</c:v>
                </c:pt>
                <c:pt idx="64">
                  <c:v>322.37442495378588</c:v>
                </c:pt>
                <c:pt idx="65">
                  <c:v>317.41481841603536</c:v>
                </c:pt>
                <c:pt idx="66">
                  <c:v>312.6055029854893</c:v>
                </c:pt>
                <c:pt idx="67">
                  <c:v>307.93974920958658</c:v>
                </c:pt>
                <c:pt idx="68">
                  <c:v>303.41122348591614</c:v>
                </c:pt>
                <c:pt idx="69">
                  <c:v>299.01395937742461</c:v>
                </c:pt>
                <c:pt idx="70">
                  <c:v>294.74233138631854</c:v>
                </c:pt>
                <c:pt idx="71">
                  <c:v>290.59103094425768</c:v>
                </c:pt>
                <c:pt idx="72">
                  <c:v>286.55504440336529</c:v>
                </c:pt>
                <c:pt idx="73">
                  <c:v>282.62963283619587</c:v>
                </c:pt>
                <c:pt idx="74">
                  <c:v>278.81031347354451</c:v>
                </c:pt>
                <c:pt idx="75">
                  <c:v>275.0928426272306</c:v>
                </c:pt>
                <c:pt idx="76">
                  <c:v>271.4731999610828</c:v>
                </c:pt>
                <c:pt idx="77">
                  <c:v>267.94757398756224</c:v>
                </c:pt>
                <c:pt idx="78">
                  <c:v>264.51234868002945</c:v>
                </c:pt>
                <c:pt idx="79">
                  <c:v>261.16409110180126</c:v>
                </c:pt>
                <c:pt idx="80">
                  <c:v>257.89953996302864</c:v>
                </c:pt>
                <c:pt idx="81">
                  <c:v>254.7155950252135</c:v>
                </c:pt>
                <c:pt idx="82">
                  <c:v>251.60930728100362</c:v>
                </c:pt>
                <c:pt idx="83">
                  <c:v>248.57786984388321</c:v>
                </c:pt>
                <c:pt idx="84">
                  <c:v>245.61860948859876</c:v>
                </c:pt>
                <c:pt idx="85">
                  <c:v>242.72897878873292</c:v>
                </c:pt>
                <c:pt idx="86">
                  <c:v>239.90654880281741</c:v>
                </c:pt>
                <c:pt idx="87">
                  <c:v>237.14900226485403</c:v>
                </c:pt>
                <c:pt idx="88">
                  <c:v>234.45412723911704</c:v>
                </c:pt>
                <c:pt idx="89">
                  <c:v>231.81981120272246</c:v>
                </c:pt>
                <c:pt idx="90">
                  <c:v>229.2440355226922</c:v>
                </c:pt>
                <c:pt idx="91">
                  <c:v>226.72487029716811</c:v>
                </c:pt>
                <c:pt idx="92">
                  <c:v>224.26046953306843</c:v>
                </c:pt>
                <c:pt idx="93">
                  <c:v>221.84906663486339</c:v>
                </c:pt>
                <c:pt idx="94">
                  <c:v>219.48897018130106</c:v>
                </c:pt>
                <c:pt idx="95">
                  <c:v>217.17855996886627</c:v>
                </c:pt>
                <c:pt idx="96">
                  <c:v>214.91628330252394</c:v>
                </c:pt>
                <c:pt idx="97">
                  <c:v>212.70065151590001</c:v>
                </c:pt>
                <c:pt idx="98">
                  <c:v>211.39176243910754</c:v>
                </c:pt>
                <c:pt idx="99">
                  <c:v>210.17183418471973</c:v>
                </c:pt>
                <c:pt idx="100">
                  <c:v>208.96730126135304</c:v>
                </c:pt>
              </c:numCache>
            </c:numRef>
          </c:val>
          <c:smooth val="0"/>
        </c:ser>
        <c:ser>
          <c:idx val="2"/>
          <c:order val="2"/>
          <c:tx>
            <c:v>VIN-max</c:v>
          </c:tx>
          <c:spPr>
            <a:ln>
              <a:solidFill>
                <a:srgbClr val="FF0000"/>
              </a:solidFill>
              <a:prstDash val="solid"/>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349.74925130114821</c:v>
                </c:pt>
                <c:pt idx="93">
                  <c:v>345.98850666350137</c:v>
                </c:pt>
                <c:pt idx="94">
                  <c:v>342.30777786920879</c:v>
                </c:pt>
                <c:pt idx="95">
                  <c:v>338.70453810216458</c:v>
                </c:pt>
                <c:pt idx="96">
                  <c:v>335.17636583026706</c:v>
                </c:pt>
                <c:pt idx="97">
                  <c:v>331.7209393784085</c:v>
                </c:pt>
                <c:pt idx="98">
                  <c:v>328.33603183373089</c:v>
                </c:pt>
                <c:pt idx="99">
                  <c:v>325.01950625965281</c:v>
                </c:pt>
                <c:pt idx="100">
                  <c:v>321.76931119705631</c:v>
                </c:pt>
              </c:numCache>
            </c:numRef>
          </c:val>
          <c:smooth val="0"/>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Dual'!$CD$110:$CD$210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185.07301168195147</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Dual'!$CD$5:$CD$105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Dual'!$CD$216:$CD$316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153686016"/>
        <c:axId val="153688320"/>
      </c:lineChart>
      <c:catAx>
        <c:axId val="153686016"/>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en-US"/>
          </a:p>
        </c:txPr>
        <c:crossAx val="153688320"/>
        <c:crosses val="autoZero"/>
        <c:auto val="1"/>
        <c:lblAlgn val="ctr"/>
        <c:lblOffset val="100"/>
        <c:tickLblSkip val="20"/>
        <c:tickMarkSkip val="10"/>
        <c:noMultiLvlLbl val="0"/>
      </c:catAx>
      <c:valAx>
        <c:axId val="153688320"/>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en-US"/>
          </a:p>
        </c:txPr>
        <c:crossAx val="153686016"/>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12</c:v>
                </c:pt>
                <c:pt idx="1">
                  <c:v>12.36</c:v>
                </c:pt>
                <c:pt idx="2">
                  <c:v>12.72</c:v>
                </c:pt>
                <c:pt idx="3">
                  <c:v>13.08</c:v>
                </c:pt>
                <c:pt idx="4">
                  <c:v>13.44</c:v>
                </c:pt>
                <c:pt idx="5">
                  <c:v>13.8</c:v>
                </c:pt>
                <c:pt idx="6">
                  <c:v>14.16</c:v>
                </c:pt>
                <c:pt idx="7">
                  <c:v>14.52</c:v>
                </c:pt>
                <c:pt idx="8">
                  <c:v>14.879999999999999</c:v>
                </c:pt>
                <c:pt idx="9">
                  <c:v>15.24</c:v>
                </c:pt>
                <c:pt idx="10">
                  <c:v>15.6</c:v>
                </c:pt>
                <c:pt idx="11">
                  <c:v>15.96</c:v>
                </c:pt>
                <c:pt idx="12">
                  <c:v>16.32</c:v>
                </c:pt>
                <c:pt idx="13">
                  <c:v>16.68</c:v>
                </c:pt>
                <c:pt idx="14">
                  <c:v>17.04</c:v>
                </c:pt>
                <c:pt idx="15">
                  <c:v>17.399999999999999</c:v>
                </c:pt>
                <c:pt idx="16">
                  <c:v>17.759999999999998</c:v>
                </c:pt>
                <c:pt idx="17">
                  <c:v>18.12</c:v>
                </c:pt>
                <c:pt idx="18">
                  <c:v>18.48</c:v>
                </c:pt>
                <c:pt idx="19">
                  <c:v>18.84</c:v>
                </c:pt>
                <c:pt idx="20">
                  <c:v>19.2</c:v>
                </c:pt>
                <c:pt idx="21">
                  <c:v>19.559999999999999</c:v>
                </c:pt>
                <c:pt idx="22">
                  <c:v>19.920000000000002</c:v>
                </c:pt>
                <c:pt idx="23">
                  <c:v>20.28</c:v>
                </c:pt>
                <c:pt idx="24">
                  <c:v>20.64</c:v>
                </c:pt>
                <c:pt idx="25">
                  <c:v>21</c:v>
                </c:pt>
                <c:pt idx="26">
                  <c:v>21.36</c:v>
                </c:pt>
                <c:pt idx="27">
                  <c:v>21.72</c:v>
                </c:pt>
                <c:pt idx="28">
                  <c:v>22.080000000000002</c:v>
                </c:pt>
                <c:pt idx="29">
                  <c:v>22.439999999999998</c:v>
                </c:pt>
                <c:pt idx="30">
                  <c:v>22.799999999999997</c:v>
                </c:pt>
                <c:pt idx="31">
                  <c:v>23.16</c:v>
                </c:pt>
                <c:pt idx="32">
                  <c:v>23.52</c:v>
                </c:pt>
                <c:pt idx="33">
                  <c:v>23.880000000000003</c:v>
                </c:pt>
                <c:pt idx="34">
                  <c:v>24.240000000000002</c:v>
                </c:pt>
                <c:pt idx="35">
                  <c:v>24.6</c:v>
                </c:pt>
                <c:pt idx="36">
                  <c:v>24.96</c:v>
                </c:pt>
                <c:pt idx="37">
                  <c:v>25.32</c:v>
                </c:pt>
                <c:pt idx="38">
                  <c:v>25.68</c:v>
                </c:pt>
                <c:pt idx="39">
                  <c:v>26.04</c:v>
                </c:pt>
                <c:pt idx="40">
                  <c:v>26.4</c:v>
                </c:pt>
                <c:pt idx="41">
                  <c:v>26.759999999999998</c:v>
                </c:pt>
                <c:pt idx="42">
                  <c:v>27.119999999999997</c:v>
                </c:pt>
                <c:pt idx="43">
                  <c:v>27.48</c:v>
                </c:pt>
                <c:pt idx="44">
                  <c:v>27.84</c:v>
                </c:pt>
                <c:pt idx="45">
                  <c:v>28.2</c:v>
                </c:pt>
                <c:pt idx="46">
                  <c:v>28.560000000000002</c:v>
                </c:pt>
                <c:pt idx="47">
                  <c:v>28.919999999999998</c:v>
                </c:pt>
                <c:pt idx="48">
                  <c:v>29.28</c:v>
                </c:pt>
                <c:pt idx="49">
                  <c:v>29.64</c:v>
                </c:pt>
                <c:pt idx="50">
                  <c:v>30</c:v>
                </c:pt>
                <c:pt idx="51">
                  <c:v>30.36</c:v>
                </c:pt>
                <c:pt idx="52">
                  <c:v>30.72</c:v>
                </c:pt>
                <c:pt idx="53">
                  <c:v>31.080000000000002</c:v>
                </c:pt>
                <c:pt idx="54">
                  <c:v>31.44</c:v>
                </c:pt>
                <c:pt idx="55">
                  <c:v>31.8</c:v>
                </c:pt>
                <c:pt idx="56">
                  <c:v>32.160000000000004</c:v>
                </c:pt>
                <c:pt idx="57">
                  <c:v>32.519999999999996</c:v>
                </c:pt>
                <c:pt idx="58">
                  <c:v>32.879999999999995</c:v>
                </c:pt>
                <c:pt idx="59">
                  <c:v>33.239999999999995</c:v>
                </c:pt>
                <c:pt idx="60">
                  <c:v>33.599999999999994</c:v>
                </c:pt>
                <c:pt idx="61">
                  <c:v>33.96</c:v>
                </c:pt>
                <c:pt idx="62">
                  <c:v>34.32</c:v>
                </c:pt>
                <c:pt idx="63">
                  <c:v>34.68</c:v>
                </c:pt>
                <c:pt idx="64">
                  <c:v>35.04</c:v>
                </c:pt>
                <c:pt idx="65">
                  <c:v>35.400000000000006</c:v>
                </c:pt>
                <c:pt idx="66">
                  <c:v>35.760000000000005</c:v>
                </c:pt>
                <c:pt idx="67">
                  <c:v>36.120000000000005</c:v>
                </c:pt>
                <c:pt idx="68">
                  <c:v>36.480000000000004</c:v>
                </c:pt>
                <c:pt idx="69">
                  <c:v>36.839999999999996</c:v>
                </c:pt>
                <c:pt idx="70">
                  <c:v>37.200000000000003</c:v>
                </c:pt>
                <c:pt idx="71">
                  <c:v>37.56</c:v>
                </c:pt>
                <c:pt idx="72">
                  <c:v>37.92</c:v>
                </c:pt>
                <c:pt idx="73">
                  <c:v>38.28</c:v>
                </c:pt>
                <c:pt idx="74">
                  <c:v>38.64</c:v>
                </c:pt>
                <c:pt idx="75">
                  <c:v>39</c:v>
                </c:pt>
                <c:pt idx="76">
                  <c:v>39.36</c:v>
                </c:pt>
                <c:pt idx="77">
                  <c:v>39.72</c:v>
                </c:pt>
                <c:pt idx="78">
                  <c:v>40.08</c:v>
                </c:pt>
                <c:pt idx="79">
                  <c:v>40.44</c:v>
                </c:pt>
                <c:pt idx="80">
                  <c:v>40.799999999999997</c:v>
                </c:pt>
                <c:pt idx="81">
                  <c:v>41.160000000000004</c:v>
                </c:pt>
                <c:pt idx="82">
                  <c:v>41.519999999999996</c:v>
                </c:pt>
                <c:pt idx="83">
                  <c:v>41.879999999999995</c:v>
                </c:pt>
                <c:pt idx="84">
                  <c:v>42.239999999999995</c:v>
                </c:pt>
                <c:pt idx="85">
                  <c:v>42.599999999999994</c:v>
                </c:pt>
                <c:pt idx="86">
                  <c:v>42.96</c:v>
                </c:pt>
                <c:pt idx="87">
                  <c:v>43.32</c:v>
                </c:pt>
                <c:pt idx="88">
                  <c:v>43.68</c:v>
                </c:pt>
                <c:pt idx="89">
                  <c:v>44.04</c:v>
                </c:pt>
                <c:pt idx="90">
                  <c:v>44.4</c:v>
                </c:pt>
                <c:pt idx="91">
                  <c:v>44.76</c:v>
                </c:pt>
                <c:pt idx="92">
                  <c:v>45.120000000000005</c:v>
                </c:pt>
                <c:pt idx="93">
                  <c:v>45.480000000000004</c:v>
                </c:pt>
                <c:pt idx="94">
                  <c:v>45.839999999999996</c:v>
                </c:pt>
                <c:pt idx="95">
                  <c:v>46.199999999999996</c:v>
                </c:pt>
                <c:pt idx="96">
                  <c:v>46.56</c:v>
                </c:pt>
                <c:pt idx="97">
                  <c:v>46.92</c:v>
                </c:pt>
                <c:pt idx="98">
                  <c:v>47.28</c:v>
                </c:pt>
                <c:pt idx="99">
                  <c:v>47.64</c:v>
                </c:pt>
                <c:pt idx="100">
                  <c:v>48</c:v>
                </c:pt>
              </c:numCache>
            </c:numRef>
          </c:xVal>
          <c:yVal>
            <c:numRef>
              <c:f>'Fsw vs VIN'!$M$6:$M$106</c:f>
              <c:numCache>
                <c:formatCode>0.0</c:formatCode>
                <c:ptCount val="101"/>
                <c:pt idx="0">
                  <c:v>168.85702907208281</c:v>
                </c:pt>
                <c:pt idx="1">
                  <c:v>171.70716363922304</c:v>
                </c:pt>
                <c:pt idx="2">
                  <c:v>174.4855967078189</c:v>
                </c:pt>
                <c:pt idx="3">
                  <c:v>177.19500038340615</c:v>
                </c:pt>
                <c:pt idx="4">
                  <c:v>179.83791562523666</c:v>
                </c:pt>
                <c:pt idx="5">
                  <c:v>182.41676019453794</c:v>
                </c:pt>
                <c:pt idx="6">
                  <c:v>184.9338360316404</c:v>
                </c:pt>
                <c:pt idx="7">
                  <c:v>187.39133610928482</c:v>
                </c:pt>
                <c:pt idx="8">
                  <c:v>189.79135080499597</c:v>
                </c:pt>
                <c:pt idx="9">
                  <c:v>192.13587383144221</c:v>
                </c:pt>
                <c:pt idx="10">
                  <c:v>194.42680776014106</c:v>
                </c:pt>
                <c:pt idx="11">
                  <c:v>196.66596917067727</c:v>
                </c:pt>
                <c:pt idx="12">
                  <c:v>198.85509345472099</c:v>
                </c:pt>
                <c:pt idx="13">
                  <c:v>200.9958393015483</c:v>
                </c:pt>
                <c:pt idx="14">
                  <c:v>203.08979288942857</c:v>
                </c:pt>
                <c:pt idx="15">
                  <c:v>207.07398100803505</c:v>
                </c:pt>
                <c:pt idx="16">
                  <c:v>211.14130572793039</c:v>
                </c:pt>
                <c:pt idx="17">
                  <c:v>215.16085999832029</c:v>
                </c:pt>
                <c:pt idx="18">
                  <c:v>219.1329535922809</c:v>
                </c:pt>
                <c:pt idx="19">
                  <c:v>223.05793229348436</c:v>
                </c:pt>
                <c:pt idx="20">
                  <c:v>226.93617357001972</c:v>
                </c:pt>
                <c:pt idx="21">
                  <c:v>230.76808266123837</c:v>
                </c:pt>
                <c:pt idx="22">
                  <c:v>234.55408903815552</c:v>
                </c:pt>
                <c:pt idx="23">
                  <c:v>238.29464320190101</c:v>
                </c:pt>
                <c:pt idx="24">
                  <c:v>241.99021378825014</c:v>
                </c:pt>
                <c:pt idx="25">
                  <c:v>245.64128494943489</c:v>
                </c:pt>
                <c:pt idx="26">
                  <c:v>249.24835398725753</c:v>
                </c:pt>
                <c:pt idx="27">
                  <c:v>252.81192921407469</c:v>
                </c:pt>
                <c:pt idx="28">
                  <c:v>256.33252802048469</c:v>
                </c:pt>
                <c:pt idx="29">
                  <c:v>259.81067513059577</c:v>
                </c:pt>
                <c:pt idx="30">
                  <c:v>263.2469010275824</c:v>
                </c:pt>
                <c:pt idx="31">
                  <c:v>266.64174053388263</c:v>
                </c:pt>
                <c:pt idx="32">
                  <c:v>269.99573153186952</c:v>
                </c:pt>
                <c:pt idx="33">
                  <c:v>273.30941381216599</c:v>
                </c:pt>
                <c:pt idx="34">
                  <c:v>276.58332803796571</c:v>
                </c:pt>
                <c:pt idx="35">
                  <c:v>279.81801481481477</c:v>
                </c:pt>
                <c:pt idx="36">
                  <c:v>283.01401385627514</c:v>
                </c:pt>
                <c:pt idx="37">
                  <c:v>286.17186323678027</c:v>
                </c:pt>
                <c:pt idx="38">
                  <c:v>289.29209872378703</c:v>
                </c:pt>
                <c:pt idx="39">
                  <c:v>292.37525318204428</c:v>
                </c:pt>
                <c:pt idx="40">
                  <c:v>295.42185604345849</c:v>
                </c:pt>
                <c:pt idx="41">
                  <c:v>298.43243283661803</c:v>
                </c:pt>
                <c:pt idx="42">
                  <c:v>301.40750477057463</c:v>
                </c:pt>
                <c:pt idx="43">
                  <c:v>304.3475883679688</c:v>
                </c:pt>
                <c:pt idx="44">
                  <c:v>307.25319514301685</c:v>
                </c:pt>
                <c:pt idx="45">
                  <c:v>310.12483132028314</c:v>
                </c:pt>
                <c:pt idx="46">
                  <c:v>312.96299759051948</c:v>
                </c:pt>
                <c:pt idx="47">
                  <c:v>315.76818890017904</c:v>
                </c:pt>
                <c:pt idx="48">
                  <c:v>318.54089427151939</c:v>
                </c:pt>
                <c:pt idx="49">
                  <c:v>321.28159665047104</c:v>
                </c:pt>
                <c:pt idx="50">
                  <c:v>323.99077277970008</c:v>
                </c:pt>
                <c:pt idx="51">
                  <c:v>326.66889309452074</c:v>
                </c:pt>
                <c:pt idx="52">
                  <c:v>329.31642163951034</c:v>
                </c:pt>
                <c:pt idx="53">
                  <c:v>331.93381600387545</c:v>
                </c:pt>
                <c:pt idx="54">
                  <c:v>334.52152727377864</c:v>
                </c:pt>
                <c:pt idx="55">
                  <c:v>337.07999999999981</c:v>
                </c:pt>
                <c:pt idx="56">
                  <c:v>339.60967217943858</c:v>
                </c:pt>
                <c:pt idx="57">
                  <c:v>342.1109752490982</c:v>
                </c:pt>
                <c:pt idx="58">
                  <c:v>344.58433409131135</c:v>
                </c:pt>
                <c:pt idx="59">
                  <c:v>347.03016704906815</c:v>
                </c:pt>
                <c:pt idx="60">
                  <c:v>349.44888595041311</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ser>
        <c:dLbls>
          <c:showLegendKey val="0"/>
          <c:showVal val="0"/>
          <c:showCatName val="0"/>
          <c:showSerName val="0"/>
          <c:showPercent val="0"/>
          <c:showBubbleSize val="0"/>
        </c:dLbls>
        <c:axId val="153743360"/>
        <c:axId val="153745280"/>
      </c:scatterChart>
      <c:valAx>
        <c:axId val="153743360"/>
        <c:scaling>
          <c:orientation val="minMax"/>
        </c:scaling>
        <c:delete val="0"/>
        <c:axPos val="b"/>
        <c:majorGridlines/>
        <c:title>
          <c:tx>
            <c:rich>
              <a:bodyPr/>
              <a:lstStyle/>
              <a:p>
                <a:pPr>
                  <a:defRPr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n-US"/>
          </a:p>
        </c:txPr>
        <c:crossAx val="153745280"/>
        <c:crosses val="autoZero"/>
        <c:crossBetween val="midCat"/>
      </c:valAx>
      <c:valAx>
        <c:axId val="153745280"/>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53743360"/>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ser>
        <c:dLbls>
          <c:showLegendKey val="0"/>
          <c:showVal val="0"/>
          <c:showCatName val="0"/>
          <c:showSerName val="0"/>
          <c:showPercent val="0"/>
          <c:showBubbleSize val="0"/>
        </c:dLbls>
        <c:axId val="154546176"/>
        <c:axId val="154548096"/>
      </c:areaChart>
      <c:catAx>
        <c:axId val="154546176"/>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en-US"/>
          </a:p>
        </c:txPr>
        <c:crossAx val="154548096"/>
        <c:crosses val="autoZero"/>
        <c:auto val="1"/>
        <c:lblAlgn val="ctr"/>
        <c:lblOffset val="100"/>
        <c:tickMarkSkip val="1"/>
        <c:noMultiLvlLbl val="0"/>
      </c:catAx>
      <c:valAx>
        <c:axId val="154548096"/>
        <c:scaling>
          <c:orientation val="minMax"/>
          <c:max val="0.2"/>
          <c:min val="0"/>
        </c:scaling>
        <c:delete val="0"/>
        <c:axPos val="l"/>
        <c:majorGridlines>
          <c:spPr>
            <a:ln w="3175">
              <a:solidFill>
                <a:srgbClr val="000000"/>
              </a:solidFill>
              <a:prstDash val="solid"/>
            </a:ln>
          </c:spPr>
        </c:majorGridlines>
        <c:min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54546176"/>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dLbl>
            <c:txPr>
              <a:bodyPr/>
              <a:lstStyle/>
              <a:p>
                <a:pPr>
                  <a:defRPr sz="1200" b="1"/>
                </a:pPr>
                <a:endParaRPr lang="en-US"/>
              </a:p>
            </c:txPr>
            <c:dLblPos val="outEnd"/>
            <c:showLegendKey val="0"/>
            <c:showVal val="0"/>
            <c:showCatName val="0"/>
            <c:showSerName val="1"/>
            <c:showPercent val="0"/>
            <c:showBubbleSize val="0"/>
            <c:showLeaderLines val="0"/>
          </c:dLbls>
          <c:val>
            <c:numRef>
              <c:f>Parameters!$BA$109</c:f>
              <c:numCache>
                <c:formatCode>0.000%</c:formatCode>
                <c:ptCount val="1"/>
                <c:pt idx="0">
                  <c:v>8.1000709018000279E-3</c:v>
                </c:pt>
              </c:numCache>
            </c:numRef>
          </c:val>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dLbl>
            <c:txPr>
              <a:bodyPr/>
              <a:lstStyle/>
              <a:p>
                <a:pPr>
                  <a:defRPr sz="1200" b="1"/>
                </a:pPr>
                <a:endParaRPr lang="en-US"/>
              </a:p>
            </c:txPr>
            <c:dLblPos val="outEnd"/>
            <c:showLegendKey val="0"/>
            <c:showVal val="0"/>
            <c:showCatName val="0"/>
            <c:showSerName val="0"/>
            <c:showPercent val="0"/>
            <c:showBubbleSize val="0"/>
          </c:dLbls>
          <c:val>
            <c:numRef>
              <c:f>Parameters!$BD$109</c:f>
              <c:numCache>
                <c:formatCode>0.000%</c:formatCode>
                <c:ptCount val="1"/>
                <c:pt idx="0">
                  <c:v>9.9057039827182662E-3</c:v>
                </c:pt>
              </c:numCache>
            </c:numRef>
          </c:val>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dLbl>
            <c:txPr>
              <a:bodyPr/>
              <a:lstStyle/>
              <a:p>
                <a:pPr>
                  <a:defRPr b="1"/>
                </a:pPr>
                <a:endParaRPr lang="en-US"/>
              </a:p>
            </c:txPr>
            <c:dLblPos val="outEnd"/>
            <c:showLegendKey val="0"/>
            <c:showVal val="1"/>
            <c:showCatName val="0"/>
            <c:showSerName val="1"/>
            <c:showPercent val="0"/>
            <c:showBubbleSize val="0"/>
            <c:showLeaderLines val="0"/>
          </c:dLbls>
          <c:val>
            <c:numRef>
              <c:f>Parameters!$BB$109</c:f>
              <c:numCache>
                <c:formatCode>0.000%</c:formatCode>
                <c:ptCount val="1"/>
                <c:pt idx="0">
                  <c:v>1.4614802049391215E-2</c:v>
                </c:pt>
              </c:numCache>
            </c:numRef>
          </c:val>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dLbl>
            <c:txPr>
              <a:bodyPr/>
              <a:lstStyle/>
              <a:p>
                <a:pPr>
                  <a:defRPr sz="1200" b="1"/>
                </a:pPr>
                <a:endParaRPr lang="en-US"/>
              </a:p>
            </c:txPr>
            <c:dLblPos val="outEnd"/>
            <c:showLegendKey val="0"/>
            <c:showVal val="0"/>
            <c:showCatName val="0"/>
            <c:showSerName val="1"/>
            <c:showPercent val="0"/>
            <c:showBubbleSize val="0"/>
            <c:showLeaderLines val="0"/>
          </c:dLbls>
          <c:val>
            <c:numRef>
              <c:f>Parameters!$BF$109</c:f>
              <c:numCache>
                <c:formatCode>0.000%</c:formatCode>
                <c:ptCount val="1"/>
                <c:pt idx="0">
                  <c:v>1.6465542803473395E-3</c:v>
                </c:pt>
              </c:numCache>
            </c:numRef>
          </c:val>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dLbl>
            <c:txPr>
              <a:bodyPr rot="0" vert="horz"/>
              <a:lstStyle/>
              <a:p>
                <a:pPr>
                  <a:defRPr sz="1200" b="1"/>
                </a:pPr>
                <a:endParaRPr lang="en-US"/>
              </a:p>
            </c:txPr>
            <c:dLblPos val="outEnd"/>
            <c:showLegendKey val="0"/>
            <c:showVal val="0"/>
            <c:showCatName val="0"/>
            <c:showSerName val="0"/>
            <c:showPercent val="0"/>
            <c:showBubbleSize val="0"/>
          </c:dLbls>
          <c:val>
            <c:numRef>
              <c:f>Parameters!$BC$109</c:f>
              <c:numCache>
                <c:formatCode>0.000%</c:formatCode>
                <c:ptCount val="1"/>
                <c:pt idx="0">
                  <c:v>2.4831534664325892E-2</c:v>
                </c:pt>
              </c:numCache>
            </c:numRef>
          </c:val>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dLbl>
            <c:showLegendKey val="0"/>
            <c:showVal val="0"/>
            <c:showCatName val="0"/>
            <c:showSerName val="1"/>
            <c:showPercent val="0"/>
            <c:showBubbleSize val="0"/>
            <c:showLeaderLines val="0"/>
          </c:dLbls>
          <c:val>
            <c:numRef>
              <c:f>Parameters!$BE$109</c:f>
              <c:numCache>
                <c:formatCode>0.000%</c:formatCode>
                <c:ptCount val="1"/>
                <c:pt idx="0">
                  <c:v>1.1631608311305648E-2</c:v>
                </c:pt>
              </c:numCache>
            </c:numRef>
          </c:val>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dLbl>
            <c:txPr>
              <a:bodyPr/>
              <a:lstStyle/>
              <a:p>
                <a:pPr>
                  <a:defRPr sz="1200" b="1"/>
                </a:pPr>
                <a:endParaRPr lang="en-US"/>
              </a:p>
            </c:txPr>
            <c:showLegendKey val="0"/>
            <c:showVal val="0"/>
            <c:showCatName val="0"/>
            <c:showSerName val="0"/>
            <c:showPercent val="0"/>
            <c:showBubbleSize val="0"/>
          </c:dLbls>
          <c:val>
            <c:numRef>
              <c:f>Parameters!$BG$109</c:f>
              <c:numCache>
                <c:formatCode>0.000%</c:formatCode>
                <c:ptCount val="1"/>
                <c:pt idx="0">
                  <c:v>1.6051760250250457E-2</c:v>
                </c:pt>
              </c:numCache>
            </c:numRef>
          </c:val>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dLbl>
            <c:txPr>
              <a:bodyPr/>
              <a:lstStyle/>
              <a:p>
                <a:pPr>
                  <a:defRPr sz="1200" b="1"/>
                </a:pPr>
                <a:endParaRPr lang="en-US"/>
              </a:p>
            </c:txPr>
            <c:showLegendKey val="0"/>
            <c:showVal val="0"/>
            <c:showCatName val="0"/>
            <c:showSerName val="0"/>
            <c:showPercent val="0"/>
            <c:showBubbleSize val="0"/>
          </c:dLbls>
          <c:val>
            <c:numRef>
              <c:f>Parameters!$BH$109</c:f>
              <c:numCache>
                <c:formatCode>0.000%</c:formatCode>
                <c:ptCount val="1"/>
                <c:pt idx="0">
                  <c:v>6.8152413568584669E-3</c:v>
                </c:pt>
              </c:numCache>
            </c:numRef>
          </c:val>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dLbl>
            <c:numFmt formatCode="0.0E+00" sourceLinked="0"/>
            <c:spPr>
              <a:noFill/>
            </c:spPr>
            <c:txPr>
              <a:bodyPr rot="0" vert="horz" anchor="ctr" anchorCtr="0"/>
              <a:lstStyle/>
              <a:p>
                <a:pPr>
                  <a:defRPr sz="1200" b="1"/>
                </a:pPr>
                <a:endParaRPr lang="en-US"/>
              </a:p>
            </c:txPr>
            <c:showLegendKey val="0"/>
            <c:showVal val="0"/>
            <c:showCatName val="0"/>
            <c:showSerName val="0"/>
            <c:showPercent val="0"/>
            <c:showBubbleSize val="0"/>
          </c:dLbls>
          <c:val>
            <c:numRef>
              <c:f>Parameters!$BJ$109</c:f>
              <c:numCache>
                <c:formatCode>0.000%</c:formatCode>
                <c:ptCount val="1"/>
                <c:pt idx="0">
                  <c:v>1.2837829865088564E-2</c:v>
                </c:pt>
              </c:numCache>
            </c:numRef>
          </c:val>
        </c:ser>
        <c:dLbls>
          <c:showLegendKey val="0"/>
          <c:showVal val="0"/>
          <c:showCatName val="0"/>
          <c:showSerName val="0"/>
          <c:showPercent val="0"/>
          <c:showBubbleSize val="0"/>
        </c:dLbls>
        <c:gapWidth val="101"/>
        <c:overlap val="-70"/>
        <c:axId val="154661632"/>
        <c:axId val="154663168"/>
      </c:barChart>
      <c:catAx>
        <c:axId val="154661632"/>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54663168"/>
        <c:crossesAt val="0"/>
        <c:auto val="1"/>
        <c:lblAlgn val="ctr"/>
        <c:lblOffset val="100"/>
        <c:noMultiLvlLbl val="0"/>
      </c:catAx>
      <c:valAx>
        <c:axId val="154663168"/>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54661632"/>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ser>
        <c:dLbls>
          <c:showLegendKey val="0"/>
          <c:showVal val="0"/>
          <c:showCatName val="0"/>
          <c:showSerName val="0"/>
          <c:showPercent val="0"/>
          <c:showBubbleSize val="0"/>
        </c:dLbls>
        <c:axId val="154487040"/>
        <c:axId val="154493312"/>
      </c:areaChart>
      <c:catAx>
        <c:axId val="154487040"/>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en-US"/>
          </a:p>
        </c:txPr>
        <c:crossAx val="154493312"/>
        <c:crosses val="autoZero"/>
        <c:auto val="1"/>
        <c:lblAlgn val="ctr"/>
        <c:lblOffset val="100"/>
        <c:tickMarkSkip val="1"/>
        <c:noMultiLvlLbl val="0"/>
      </c:catAx>
      <c:valAx>
        <c:axId val="154493312"/>
        <c:scaling>
          <c:orientation val="minMax"/>
          <c:max val="0.2"/>
          <c:min val="0"/>
        </c:scaling>
        <c:delete val="0"/>
        <c:axPos val="l"/>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54487040"/>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Parameters!$BZ$6:$BZ$106</c:f>
              <c:numCache>
                <c:formatCode>0.00</c:formatCode>
                <c:ptCount val="101"/>
                <c:pt idx="0">
                  <c:v>100</c:v>
                </c:pt>
                <c:pt idx="1">
                  <c:v>100</c:v>
                </c:pt>
                <c:pt idx="2">
                  <c:v>100</c:v>
                </c:pt>
                <c:pt idx="3">
                  <c:v>100</c:v>
                </c:pt>
                <c:pt idx="100">
                  <c:v>100</c:v>
                </c:pt>
              </c:numCache>
            </c:numRef>
          </c:val>
          <c:smooth val="1"/>
        </c:ser>
        <c:dLbls>
          <c:showLegendKey val="0"/>
          <c:showVal val="0"/>
          <c:showCatName val="0"/>
          <c:showSerName val="0"/>
          <c:showPercent val="0"/>
          <c:showBubbleSize val="0"/>
        </c:dLbls>
        <c:marker val="1"/>
        <c:smooth val="0"/>
        <c:axId val="154935680"/>
        <c:axId val="154937600"/>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Parameters!$CA$6:$CA$106</c:f>
              <c:numCache>
                <c:formatCode>0.00</c:formatCode>
                <c:ptCount val="101"/>
                <c:pt idx="0">
                  <c:v>0</c:v>
                </c:pt>
                <c:pt idx="1">
                  <c:v>0</c:v>
                </c:pt>
                <c:pt idx="2">
                  <c:v>0</c:v>
                </c:pt>
                <c:pt idx="3">
                  <c:v>0</c:v>
                </c:pt>
                <c:pt idx="100">
                  <c:v>0</c:v>
                </c:pt>
              </c:numCache>
            </c:numRef>
          </c:val>
          <c:smooth val="0"/>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Parameters!$CB$6:$CB$106</c:f>
              <c:numCache>
                <c:formatCode>0.00</c:formatCode>
                <c:ptCount val="101"/>
                <c:pt idx="0">
                  <c:v>0</c:v>
                </c:pt>
                <c:pt idx="1">
                  <c:v>0</c:v>
                </c:pt>
                <c:pt idx="2">
                  <c:v>0</c:v>
                </c:pt>
                <c:pt idx="3">
                  <c:v>0</c:v>
                </c:pt>
                <c:pt idx="100">
                  <c:v>0</c:v>
                </c:pt>
              </c:numCache>
            </c:numRef>
          </c:val>
          <c:smooth val="0"/>
        </c:ser>
        <c:ser>
          <c:idx val="3"/>
          <c:order val="3"/>
          <c:tx>
            <c:v> Inductor Loss</c:v>
          </c:tx>
          <c:spPr>
            <a:ln w="38100">
              <a:solidFill>
                <a:srgbClr val="800080"/>
              </a:solidFill>
              <a:prstDash val="dash"/>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Parameters!$CC$6:$CC$106</c:f>
              <c:numCache>
                <c:formatCode>0.00</c:formatCode>
                <c:ptCount val="101"/>
                <c:pt idx="0">
                  <c:v>0</c:v>
                </c:pt>
                <c:pt idx="1">
                  <c:v>0</c:v>
                </c:pt>
                <c:pt idx="2">
                  <c:v>0</c:v>
                </c:pt>
                <c:pt idx="3">
                  <c:v>0</c:v>
                </c:pt>
                <c:pt idx="100">
                  <c:v>0</c:v>
                </c:pt>
              </c:numCache>
            </c:numRef>
          </c:val>
          <c:smooth val="0"/>
        </c:ser>
        <c:dLbls>
          <c:showLegendKey val="0"/>
          <c:showVal val="0"/>
          <c:showCatName val="0"/>
          <c:showSerName val="0"/>
          <c:showPercent val="0"/>
          <c:showBubbleSize val="0"/>
        </c:dLbls>
        <c:marker val="1"/>
        <c:smooth val="0"/>
        <c:axId val="154945792"/>
        <c:axId val="154943872"/>
      </c:lineChart>
      <c:catAx>
        <c:axId val="154935680"/>
        <c:scaling>
          <c:orientation val="minMax"/>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en-US"/>
          </a:p>
        </c:txPr>
        <c:crossAx val="154937600"/>
        <c:crosses val="autoZero"/>
        <c:auto val="1"/>
        <c:lblAlgn val="ctr"/>
        <c:lblOffset val="100"/>
        <c:tickLblSkip val="20"/>
        <c:tickMarkSkip val="20"/>
        <c:noMultiLvlLbl val="0"/>
      </c:catAx>
      <c:valAx>
        <c:axId val="154937600"/>
        <c:scaling>
          <c:orientation val="minMax"/>
          <c:max val="95"/>
          <c:min val="65"/>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54935680"/>
        <c:crossesAt val="0"/>
        <c:crossBetween val="between"/>
        <c:majorUnit val="5"/>
        <c:minorUnit val="2.5"/>
      </c:valAx>
      <c:valAx>
        <c:axId val="154943872"/>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sz="1100" b="1">
                <a:solidFill>
                  <a:srgbClr val="0000FF"/>
                </a:solidFill>
              </a:defRPr>
            </a:pPr>
            <a:endParaRPr lang="en-US"/>
          </a:p>
        </c:txPr>
        <c:crossAx val="154945792"/>
        <c:crosses val="max"/>
        <c:crossBetween val="between"/>
      </c:valAx>
      <c:catAx>
        <c:axId val="154945792"/>
        <c:scaling>
          <c:orientation val="minMax"/>
        </c:scaling>
        <c:delete val="1"/>
        <c:axPos val="b"/>
        <c:numFmt formatCode="0.000" sourceLinked="1"/>
        <c:majorTickMark val="out"/>
        <c:minorTickMark val="none"/>
        <c:tickLblPos val="nextTo"/>
        <c:crossAx val="15494387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Parameters!$BZ$6:$BZ$106</c:f>
              <c:numCache>
                <c:formatCode>0.00</c:formatCode>
                <c:ptCount val="101"/>
                <c:pt idx="0">
                  <c:v>100</c:v>
                </c:pt>
                <c:pt idx="1">
                  <c:v>100</c:v>
                </c:pt>
                <c:pt idx="2">
                  <c:v>100</c:v>
                </c:pt>
                <c:pt idx="3">
                  <c:v>100</c:v>
                </c:pt>
                <c:pt idx="100">
                  <c:v>100</c:v>
                </c:pt>
              </c:numCache>
            </c:numRef>
          </c:yVal>
          <c:smooth val="1"/>
        </c:ser>
        <c:dLbls>
          <c:showLegendKey val="0"/>
          <c:showVal val="0"/>
          <c:showCatName val="0"/>
          <c:showSerName val="0"/>
          <c:showPercent val="0"/>
          <c:showBubbleSize val="0"/>
        </c:dLbls>
        <c:axId val="155011328"/>
        <c:axId val="155021696"/>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Parameters!$CA$6:$CA$106</c:f>
              <c:numCache>
                <c:formatCode>0.00</c:formatCode>
                <c:ptCount val="101"/>
                <c:pt idx="0">
                  <c:v>0</c:v>
                </c:pt>
                <c:pt idx="1">
                  <c:v>0</c:v>
                </c:pt>
                <c:pt idx="2">
                  <c:v>0</c:v>
                </c:pt>
                <c:pt idx="3">
                  <c:v>0</c:v>
                </c:pt>
                <c:pt idx="100">
                  <c:v>0</c:v>
                </c:pt>
              </c:numCache>
            </c:numRef>
          </c:yVal>
          <c:smooth val="1"/>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Parameters!$CB$6:$CB$106</c:f>
              <c:numCache>
                <c:formatCode>0.00</c:formatCode>
                <c:ptCount val="101"/>
                <c:pt idx="0">
                  <c:v>0</c:v>
                </c:pt>
                <c:pt idx="1">
                  <c:v>0</c:v>
                </c:pt>
                <c:pt idx="2">
                  <c:v>0</c:v>
                </c:pt>
                <c:pt idx="3">
                  <c:v>0</c:v>
                </c:pt>
                <c:pt idx="100">
                  <c:v>0</c:v>
                </c:pt>
              </c:numCache>
            </c:numRef>
          </c:yVal>
          <c:smooth val="1"/>
        </c:ser>
        <c:ser>
          <c:idx val="3"/>
          <c:order val="3"/>
          <c:tx>
            <c:v> Inductor Loss</c:v>
          </c:tx>
          <c:spPr>
            <a:ln w="38100">
              <a:solidFill>
                <a:srgbClr val="800080"/>
              </a:solidFill>
              <a:prstDash val="dash"/>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Parameters!$CC$6:$CC$106</c:f>
              <c:numCache>
                <c:formatCode>0.00</c:formatCode>
                <c:ptCount val="101"/>
                <c:pt idx="0">
                  <c:v>0</c:v>
                </c:pt>
                <c:pt idx="1">
                  <c:v>0</c:v>
                </c:pt>
                <c:pt idx="2">
                  <c:v>0</c:v>
                </c:pt>
                <c:pt idx="3">
                  <c:v>0</c:v>
                </c:pt>
                <c:pt idx="100">
                  <c:v>0</c:v>
                </c:pt>
              </c:numCache>
            </c:numRef>
          </c:yVal>
          <c:smooth val="1"/>
        </c:ser>
        <c:dLbls>
          <c:showLegendKey val="0"/>
          <c:showVal val="0"/>
          <c:showCatName val="0"/>
          <c:showSerName val="0"/>
          <c:showPercent val="0"/>
          <c:showBubbleSize val="0"/>
        </c:dLbls>
        <c:axId val="155046272"/>
        <c:axId val="155023616"/>
      </c:scatterChart>
      <c:valAx>
        <c:axId val="155011328"/>
        <c:scaling>
          <c:logBase val="10"/>
          <c:orientation val="minMax"/>
          <c:min val="0.1"/>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en-US"/>
          </a:p>
        </c:txPr>
        <c:crossAx val="155021696"/>
        <c:crosses val="autoZero"/>
        <c:crossBetween val="midCat"/>
      </c:valAx>
      <c:valAx>
        <c:axId val="155021696"/>
        <c:scaling>
          <c:orientation val="minMax"/>
          <c:max val="95"/>
          <c:min val="60"/>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55011328"/>
        <c:crossesAt val="0"/>
        <c:crossBetween val="midCat"/>
        <c:majorUnit val="5"/>
        <c:minorUnit val="2.5"/>
      </c:valAx>
      <c:valAx>
        <c:axId val="155023616"/>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sz="1100" b="1">
                <a:solidFill>
                  <a:srgbClr val="0000FF"/>
                </a:solidFill>
              </a:defRPr>
            </a:pPr>
            <a:endParaRPr lang="en-US"/>
          </a:p>
        </c:txPr>
        <c:crossAx val="155046272"/>
        <c:crosses val="max"/>
        <c:crossBetween val="midCat"/>
      </c:valAx>
      <c:valAx>
        <c:axId val="155046272"/>
        <c:scaling>
          <c:logBase val="10"/>
          <c:orientation val="minMax"/>
        </c:scaling>
        <c:delete val="1"/>
        <c:axPos val="b"/>
        <c:numFmt formatCode="0.000" sourceLinked="1"/>
        <c:majorTickMark val="out"/>
        <c:minorTickMark val="none"/>
        <c:tickLblPos val="nextTo"/>
        <c:crossAx val="155023616"/>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dLbl>
            <c:txPr>
              <a:bodyPr/>
              <a:lstStyle/>
              <a:p>
                <a:pPr>
                  <a:defRPr sz="1200" b="1"/>
                </a:pPr>
                <a:endParaRPr lang="en-US"/>
              </a:p>
            </c:txPr>
            <c:dLblPos val="outEnd"/>
            <c:showLegendKey val="0"/>
            <c:showVal val="0"/>
            <c:showCatName val="0"/>
            <c:showSerName val="1"/>
            <c:showPercent val="0"/>
            <c:showBubbleSize val="0"/>
            <c:showLeaderLines val="0"/>
          </c:dLbls>
          <c:val>
            <c:numRef>
              <c:f>Parameters!$BA$108</c:f>
              <c:numCache>
                <c:formatCode>0.000%</c:formatCode>
                <c:ptCount val="1"/>
                <c:pt idx="0">
                  <c:v>3.6409104085968987E-3</c:v>
                </c:pt>
              </c:numCache>
            </c:numRef>
          </c:val>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dLbl>
            <c:txPr>
              <a:bodyPr/>
              <a:lstStyle/>
              <a:p>
                <a:pPr>
                  <a:defRPr sz="1200" b="1"/>
                </a:pPr>
                <a:endParaRPr lang="en-US"/>
              </a:p>
            </c:txPr>
            <c:dLblPos val="outEnd"/>
            <c:showLegendKey val="0"/>
            <c:showVal val="0"/>
            <c:showCatName val="0"/>
            <c:showSerName val="0"/>
            <c:showPercent val="0"/>
            <c:showBubbleSize val="0"/>
          </c:dLbls>
          <c:val>
            <c:numRef>
              <c:f>Parameters!$BD$108</c:f>
              <c:numCache>
                <c:formatCode>0.000%</c:formatCode>
                <c:ptCount val="1"/>
                <c:pt idx="0">
                  <c:v>4.5907837520612008E-3</c:v>
                </c:pt>
              </c:numCache>
            </c:numRef>
          </c:val>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dLbl>
            <c:txPr>
              <a:bodyPr/>
              <a:lstStyle/>
              <a:p>
                <a:pPr>
                  <a:defRPr b="1"/>
                </a:pPr>
                <a:endParaRPr lang="en-US"/>
              </a:p>
            </c:txPr>
            <c:dLblPos val="outEnd"/>
            <c:showLegendKey val="0"/>
            <c:showVal val="1"/>
            <c:showCatName val="0"/>
            <c:showSerName val="1"/>
            <c:showPercent val="0"/>
            <c:showBubbleSize val="0"/>
            <c:showLeaderLines val="0"/>
          </c:dLbls>
          <c:val>
            <c:numRef>
              <c:f>Parameters!$BB$108</c:f>
              <c:numCache>
                <c:formatCode>0.000%</c:formatCode>
                <c:ptCount val="1"/>
                <c:pt idx="0">
                  <c:v>6.5692245841190103E-3</c:v>
                </c:pt>
              </c:numCache>
            </c:numRef>
          </c:val>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dLbl>
            <c:txPr>
              <a:bodyPr/>
              <a:lstStyle/>
              <a:p>
                <a:pPr>
                  <a:defRPr sz="1200" b="1"/>
                </a:pPr>
                <a:endParaRPr lang="en-US"/>
              </a:p>
            </c:txPr>
            <c:dLblPos val="outEnd"/>
            <c:showLegendKey val="0"/>
            <c:showVal val="0"/>
            <c:showCatName val="0"/>
            <c:showSerName val="1"/>
            <c:showPercent val="0"/>
            <c:showBubbleSize val="0"/>
            <c:showLeaderLines val="0"/>
          </c:dLbls>
          <c:val>
            <c:numRef>
              <c:f>Parameters!$BF$108</c:f>
              <c:numCache>
                <c:formatCode>0.000%</c:formatCode>
                <c:ptCount val="1"/>
                <c:pt idx="0">
                  <c:v>7.3751579484765363E-4</c:v>
                </c:pt>
              </c:numCache>
            </c:numRef>
          </c:val>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dLbl>
            <c:txPr>
              <a:bodyPr rot="0" vert="horz"/>
              <a:lstStyle/>
              <a:p>
                <a:pPr>
                  <a:defRPr sz="1200" b="1"/>
                </a:pPr>
                <a:endParaRPr lang="en-US"/>
              </a:p>
            </c:txPr>
            <c:dLblPos val="outEnd"/>
            <c:showLegendKey val="0"/>
            <c:showVal val="0"/>
            <c:showCatName val="0"/>
            <c:showSerName val="0"/>
            <c:showPercent val="0"/>
            <c:showBubbleSize val="0"/>
          </c:dLbls>
          <c:val>
            <c:numRef>
              <c:f>Parameters!$BC$108</c:f>
              <c:numCache>
                <c:formatCode>0.000%</c:formatCode>
                <c:ptCount val="1"/>
                <c:pt idx="0">
                  <c:v>5.4394694205683519E-2</c:v>
                </c:pt>
              </c:numCache>
            </c:numRef>
          </c:val>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dLbl>
            <c:showLegendKey val="0"/>
            <c:showVal val="0"/>
            <c:showCatName val="0"/>
            <c:showSerName val="1"/>
            <c:showPercent val="0"/>
            <c:showBubbleSize val="0"/>
            <c:showLeaderLines val="0"/>
          </c:dLbls>
          <c:val>
            <c:numRef>
              <c:f>Parameters!$BE$108</c:f>
              <c:numCache>
                <c:formatCode>0.000%</c:formatCode>
                <c:ptCount val="1"/>
                <c:pt idx="0">
                  <c:v>0</c:v>
                </c:pt>
              </c:numCache>
            </c:numRef>
          </c:val>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dLbl>
            <c:txPr>
              <a:bodyPr/>
              <a:lstStyle/>
              <a:p>
                <a:pPr>
                  <a:defRPr sz="1200" b="1"/>
                </a:pPr>
                <a:endParaRPr lang="en-US"/>
              </a:p>
            </c:txPr>
            <c:showLegendKey val="0"/>
            <c:showVal val="0"/>
            <c:showCatName val="0"/>
            <c:showSerName val="0"/>
            <c:showPercent val="0"/>
            <c:showBubbleSize val="0"/>
          </c:dLbls>
          <c:val>
            <c:numRef>
              <c:f>Parameters!$BG$108</c:f>
              <c:numCache>
                <c:formatCode>0.000%</c:formatCode>
                <c:ptCount val="1"/>
                <c:pt idx="0">
                  <c:v>7.2151246180390156E-3</c:v>
                </c:pt>
              </c:numCache>
            </c:numRef>
          </c:val>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dLbl>
            <c:txPr>
              <a:bodyPr/>
              <a:lstStyle/>
              <a:p>
                <a:pPr>
                  <a:defRPr sz="1200" b="1"/>
                </a:pPr>
                <a:endParaRPr lang="en-US"/>
              </a:p>
            </c:txPr>
            <c:showLegendKey val="0"/>
            <c:showVal val="0"/>
            <c:showCatName val="0"/>
            <c:showSerName val="0"/>
            <c:showPercent val="0"/>
            <c:showBubbleSize val="0"/>
          </c:dLbls>
          <c:val>
            <c:numRef>
              <c:f>Parameters!$BH$108</c:f>
              <c:numCache>
                <c:formatCode>0.000%</c:formatCode>
                <c:ptCount val="1"/>
                <c:pt idx="0">
                  <c:v>1.4929120352630757E-2</c:v>
                </c:pt>
              </c:numCache>
            </c:numRef>
          </c:val>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dLbl>
            <c:numFmt formatCode="0.0E+00" sourceLinked="0"/>
            <c:spPr>
              <a:noFill/>
            </c:spPr>
            <c:txPr>
              <a:bodyPr rot="0" vert="horz" anchor="ctr" anchorCtr="0"/>
              <a:lstStyle/>
              <a:p>
                <a:pPr>
                  <a:defRPr sz="1200" b="1"/>
                </a:pPr>
                <a:endParaRPr lang="en-US"/>
              </a:p>
            </c:txPr>
            <c:showLegendKey val="0"/>
            <c:showVal val="0"/>
            <c:showCatName val="0"/>
            <c:showSerName val="0"/>
            <c:showPercent val="0"/>
            <c:showBubbleSize val="0"/>
          </c:dLbls>
          <c:val>
            <c:numRef>
              <c:f>Parameters!$BJ$108</c:f>
              <c:numCache>
                <c:formatCode>0.000%</c:formatCode>
                <c:ptCount val="1"/>
                <c:pt idx="0">
                  <c:v>8.2551506228875166E-2</c:v>
                </c:pt>
              </c:numCache>
            </c:numRef>
          </c:val>
        </c:ser>
        <c:dLbls>
          <c:showLegendKey val="0"/>
          <c:showVal val="0"/>
          <c:showCatName val="0"/>
          <c:showSerName val="0"/>
          <c:showPercent val="0"/>
          <c:showBubbleSize val="0"/>
        </c:dLbls>
        <c:gapWidth val="101"/>
        <c:overlap val="-70"/>
        <c:axId val="154676224"/>
        <c:axId val="154686208"/>
      </c:barChart>
      <c:catAx>
        <c:axId val="154676224"/>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54686208"/>
        <c:crossesAt val="0"/>
        <c:auto val="1"/>
        <c:lblAlgn val="ctr"/>
        <c:lblOffset val="100"/>
        <c:noMultiLvlLbl val="0"/>
      </c:catAx>
      <c:valAx>
        <c:axId val="154686208"/>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54676224"/>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Single'!$CA$5:$CA$105</c:f>
              <c:numCache>
                <c:formatCode>0.00</c:formatCode>
                <c:ptCount val="101"/>
                <c:pt idx="0">
                  <c:v>2.3808824712858934E-5</c:v>
                </c:pt>
                <c:pt idx="1">
                  <c:v>62.064888199787958</c:v>
                </c:pt>
                <c:pt idx="2">
                  <c:v>70.351620055385212</c:v>
                </c:pt>
                <c:pt idx="3">
                  <c:v>73.582841823243982</c:v>
                </c:pt>
                <c:pt idx="4">
                  <c:v>75.268400104131544</c:v>
                </c:pt>
                <c:pt idx="5">
                  <c:v>76.275588297499198</c:v>
                </c:pt>
                <c:pt idx="6">
                  <c:v>76.922616298136489</c:v>
                </c:pt>
                <c:pt idx="7">
                  <c:v>77.354001291973304</c:v>
                </c:pt>
                <c:pt idx="8">
                  <c:v>77.644987646607106</c:v>
                </c:pt>
                <c:pt idx="9">
                  <c:v>77.30696686382305</c:v>
                </c:pt>
                <c:pt idx="10">
                  <c:v>78.029828336794836</c:v>
                </c:pt>
                <c:pt idx="11">
                  <c:v>78.63752384443579</c:v>
                </c:pt>
                <c:pt idx="12">
                  <c:v>79.155892676817032</c:v>
                </c:pt>
                <c:pt idx="13">
                  <c:v>79.603504904097107</c:v>
                </c:pt>
                <c:pt idx="14">
                  <c:v>79.994064539820727</c:v>
                </c:pt>
                <c:pt idx="15">
                  <c:v>80.337914946278346</c:v>
                </c:pt>
                <c:pt idx="16">
                  <c:v>80.643015804735626</c:v>
                </c:pt>
                <c:pt idx="17">
                  <c:v>80.915596660962947</c:v>
                </c:pt>
                <c:pt idx="18">
                  <c:v>81.160605762736509</c:v>
                </c:pt>
                <c:pt idx="19">
                  <c:v>81.382025490069125</c:v>
                </c:pt>
                <c:pt idx="20">
                  <c:v>81.583098585938899</c:v>
                </c:pt>
                <c:pt idx="21">
                  <c:v>81.766493375981696</c:v>
                </c:pt>
                <c:pt idx="22">
                  <c:v>81.934426403675616</c:v>
                </c:pt>
                <c:pt idx="23">
                  <c:v>82.08875479695223</c:v>
                </c:pt>
                <c:pt idx="24">
                  <c:v>82.231046764153277</c:v>
                </c:pt>
                <c:pt idx="25">
                  <c:v>82.362636050103148</c:v>
                </c:pt>
                <c:pt idx="26">
                  <c:v>82.484664467725594</c:v>
                </c:pt>
                <c:pt idx="27">
                  <c:v>82.598115453817996</c:v>
                </c:pt>
                <c:pt idx="28">
                  <c:v>82.703840790847011</c:v>
                </c:pt>
                <c:pt idx="29">
                  <c:v>82.80258207041777</c:v>
                </c:pt>
                <c:pt idx="30">
                  <c:v>82.894988071154302</c:v>
                </c:pt>
                <c:pt idx="31">
                  <c:v>82.981628933340261</c:v>
                </c:pt>
                <c:pt idx="32">
                  <c:v>83.063007800888158</c:v>
                </c:pt>
                <c:pt idx="33">
                  <c:v>83.139570445048022</c:v>
                </c:pt>
                <c:pt idx="34">
                  <c:v>83.21171326793683</c:v>
                </c:pt>
                <c:pt idx="35">
                  <c:v>83.279789996476865</c:v>
                </c:pt>
                <c:pt idx="36">
                  <c:v>83.344117310932731</c:v>
                </c:pt>
                <c:pt idx="37">
                  <c:v>83.404979601422085</c:v>
                </c:pt>
                <c:pt idx="38">
                  <c:v>83.462633006577562</c:v>
                </c:pt>
                <c:pt idx="39">
                  <c:v>83.517308858073676</c:v>
                </c:pt>
                <c:pt idx="40">
                  <c:v>83.569216630890992</c:v>
                </c:pt>
                <c:pt idx="41">
                  <c:v>83.618546480404959</c:v>
                </c:pt>
                <c:pt idx="42">
                  <c:v>83.665471432493476</c:v>
                </c:pt>
                <c:pt idx="43">
                  <c:v>83.710149280978257</c:v>
                </c:pt>
                <c:pt idx="44">
                  <c:v>83.75272423718603</c:v>
                </c:pt>
                <c:pt idx="45">
                  <c:v>83.793328368730684</c:v>
                </c:pt>
                <c:pt idx="46">
                  <c:v>83.832082858388517</c:v>
                </c:pt>
                <c:pt idx="47">
                  <c:v>83.869099108862713</c:v>
                </c:pt>
                <c:pt idx="48">
                  <c:v>83.904479715081479</c:v>
                </c:pt>
                <c:pt idx="49">
                  <c:v>83.938319322258508</c:v>
                </c:pt>
                <c:pt idx="50">
                  <c:v>83.970705385125939</c:v>
                </c:pt>
                <c:pt idx="51">
                  <c:v>84.001718841413677</c:v>
                </c:pt>
                <c:pt idx="52">
                  <c:v>84.031434710702854</c:v>
                </c:pt>
                <c:pt idx="53">
                  <c:v>84.059922628158063</c:v>
                </c:pt>
                <c:pt idx="54">
                  <c:v>84.087247321279577</c:v>
                </c:pt>
                <c:pt idx="55">
                  <c:v>84.113469036671859</c:v>
                </c:pt>
                <c:pt idx="56">
                  <c:v>84.138643922856986</c:v>
                </c:pt>
                <c:pt idx="57">
                  <c:v>84.162824374342392</c:v>
                </c:pt>
                <c:pt idx="58">
                  <c:v>84.186059341457366</c:v>
                </c:pt>
                <c:pt idx="59">
                  <c:v>84.208394609879065</c:v>
                </c:pt>
                <c:pt idx="60">
                  <c:v>84.229873053263262</c:v>
                </c:pt>
                <c:pt idx="61">
                  <c:v>84.250534861960745</c:v>
                </c:pt>
                <c:pt idx="62">
                  <c:v>84.270417750427811</c:v>
                </c:pt>
                <c:pt idx="63">
                  <c:v>84.289557145618005</c:v>
                </c:pt>
                <c:pt idx="64">
                  <c:v>84.307986358365838</c:v>
                </c:pt>
                <c:pt idx="65">
                  <c:v>84.325736739532459</c:v>
                </c:pt>
                <c:pt idx="66">
                  <c:v>84.342837822476014</c:v>
                </c:pt>
                <c:pt idx="67">
                  <c:v>84.359317453228044</c:v>
                </c:pt>
                <c:pt idx="68">
                  <c:v>84.375201909599824</c:v>
                </c:pt>
                <c:pt idx="69">
                  <c:v>84.390516010304779</c:v>
                </c:pt>
                <c:pt idx="70">
                  <c:v>84.405283215063193</c:v>
                </c:pt>
                <c:pt idx="71">
                  <c:v>84.419525716548733</c:v>
                </c:pt>
                <c:pt idx="72">
                  <c:v>84.433264524945187</c:v>
                </c:pt>
                <c:pt idx="73">
                  <c:v>84.44651954579831</c:v>
                </c:pt>
                <c:pt idx="74">
                  <c:v>84.459309651777545</c:v>
                </c:pt>
                <c:pt idx="75">
                  <c:v>84.471652748897355</c:v>
                </c:pt>
                <c:pt idx="76">
                  <c:v>84.483565837692367</c:v>
                </c:pt>
                <c:pt idx="77">
                  <c:v>84.495065069790925</c:v>
                </c:pt>
                <c:pt idx="78">
                  <c:v>84.506165800286482</c:v>
                </c:pt>
                <c:pt idx="79">
                  <c:v>84.577212339710755</c:v>
                </c:pt>
                <c:pt idx="80">
                  <c:v>84.685724365029685</c:v>
                </c:pt>
                <c:pt idx="81">
                  <c:v>84.790717805864944</c:v>
                </c:pt>
                <c:pt idx="82">
                  <c:v>84.892345946747</c:v>
                </c:pt>
                <c:pt idx="83">
                  <c:v>84.998858064698467</c:v>
                </c:pt>
                <c:pt idx="84">
                  <c:v>85.018116600698789</c:v>
                </c:pt>
                <c:pt idx="85">
                  <c:v>85.035976559489399</c:v>
                </c:pt>
                <c:pt idx="86">
                  <c:v>85.052489130043568</c:v>
                </c:pt>
                <c:pt idx="87">
                  <c:v>85.067703035986767</c:v>
                </c:pt>
                <c:pt idx="88">
                  <c:v>85.081664680104311</c:v>
                </c:pt>
                <c:pt idx="89">
                  <c:v>85.094418278878379</c:v>
                </c:pt>
                <c:pt idx="90">
                  <c:v>85.106005987842721</c:v>
                </c:pt>
                <c:pt idx="91">
                  <c:v>85.116468018472887</c:v>
                </c:pt>
                <c:pt idx="92">
                  <c:v>85.12584274726683</c:v>
                </c:pt>
                <c:pt idx="93">
                  <c:v>85.134166817614258</c:v>
                </c:pt>
                <c:pt idx="94">
                  <c:v>85.141475235000726</c:v>
                </c:pt>
                <c:pt idx="95">
                  <c:v>85.147801456047205</c:v>
                </c:pt>
                <c:pt idx="96">
                  <c:v>85.153177471842085</c:v>
                </c:pt>
                <c:pt idx="97">
                  <c:v>85.157633885986016</c:v>
                </c:pt>
                <c:pt idx="98">
                  <c:v>85.161199987733895</c:v>
                </c:pt>
                <c:pt idx="99">
                  <c:v>85.163903820587791</c:v>
                </c:pt>
                <c:pt idx="100">
                  <c:v>85.165772246665256</c:v>
                </c:pt>
              </c:numCache>
            </c:numRef>
          </c:val>
          <c:smooth val="0"/>
        </c:ser>
        <c:dLbls>
          <c:showLegendKey val="0"/>
          <c:showVal val="0"/>
          <c:showCatName val="0"/>
          <c:showSerName val="0"/>
          <c:showPercent val="0"/>
          <c:showBubbleSize val="0"/>
        </c:dLbls>
        <c:marker val="1"/>
        <c:smooth val="0"/>
        <c:axId val="154231936"/>
        <c:axId val="154233856"/>
      </c:lineChart>
      <c:lineChart>
        <c:grouping val="standard"/>
        <c:varyColors val="0"/>
        <c:ser>
          <c:idx val="2"/>
          <c:order val="1"/>
          <c:tx>
            <c:strRef>
              <c:f>'Calculations - Single'!$BN$3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Single'!$BQ$5:$BQ$105</c:f>
              <c:numCache>
                <c:formatCode>0.0</c:formatCode>
                <c:ptCount val="101"/>
                <c:pt idx="0">
                  <c:v>3.8800000000000003E-7</c:v>
                </c:pt>
                <c:pt idx="1">
                  <c:v>3.88</c:v>
                </c:pt>
                <c:pt idx="2">
                  <c:v>7.76</c:v>
                </c:pt>
                <c:pt idx="3">
                  <c:v>11.639999999999999</c:v>
                </c:pt>
                <c:pt idx="4">
                  <c:v>15.52</c:v>
                </c:pt>
                <c:pt idx="5">
                  <c:v>19.400000000000006</c:v>
                </c:pt>
                <c:pt idx="6">
                  <c:v>23.279999999999998</c:v>
                </c:pt>
                <c:pt idx="7">
                  <c:v>27.160000000000004</c:v>
                </c:pt>
                <c:pt idx="8">
                  <c:v>31.04</c:v>
                </c:pt>
                <c:pt idx="9">
                  <c:v>34.92</c:v>
                </c:pt>
                <c:pt idx="10">
                  <c:v>38.800000000000011</c:v>
                </c:pt>
                <c:pt idx="11">
                  <c:v>42.68</c:v>
                </c:pt>
                <c:pt idx="12">
                  <c:v>46.559999999999995</c:v>
                </c:pt>
                <c:pt idx="13">
                  <c:v>50.440000000000005</c:v>
                </c:pt>
                <c:pt idx="14">
                  <c:v>54.320000000000007</c:v>
                </c:pt>
                <c:pt idx="15">
                  <c:v>58.199999999999996</c:v>
                </c:pt>
                <c:pt idx="16">
                  <c:v>62.08</c:v>
                </c:pt>
                <c:pt idx="17">
                  <c:v>65.960000000000008</c:v>
                </c:pt>
                <c:pt idx="18">
                  <c:v>69.84</c:v>
                </c:pt>
                <c:pt idx="19">
                  <c:v>73.720000000000013</c:v>
                </c:pt>
                <c:pt idx="20">
                  <c:v>77.600000000000023</c:v>
                </c:pt>
                <c:pt idx="21">
                  <c:v>81.47999999999999</c:v>
                </c:pt>
                <c:pt idx="22">
                  <c:v>85.36</c:v>
                </c:pt>
                <c:pt idx="23">
                  <c:v>89.240000000000009</c:v>
                </c:pt>
                <c:pt idx="24">
                  <c:v>93.11999999999999</c:v>
                </c:pt>
                <c:pt idx="25">
                  <c:v>97</c:v>
                </c:pt>
                <c:pt idx="26">
                  <c:v>100.88000000000001</c:v>
                </c:pt>
                <c:pt idx="27">
                  <c:v>104.76</c:v>
                </c:pt>
                <c:pt idx="28">
                  <c:v>108.64000000000001</c:v>
                </c:pt>
                <c:pt idx="29">
                  <c:v>112.52</c:v>
                </c:pt>
                <c:pt idx="30">
                  <c:v>116.39999999999999</c:v>
                </c:pt>
                <c:pt idx="31">
                  <c:v>120.28</c:v>
                </c:pt>
                <c:pt idx="32">
                  <c:v>124.16</c:v>
                </c:pt>
                <c:pt idx="33">
                  <c:v>128.04000000000002</c:v>
                </c:pt>
                <c:pt idx="34">
                  <c:v>131.92000000000002</c:v>
                </c:pt>
                <c:pt idx="35">
                  <c:v>135.79999999999998</c:v>
                </c:pt>
                <c:pt idx="36">
                  <c:v>139.68</c:v>
                </c:pt>
                <c:pt idx="37">
                  <c:v>143.56</c:v>
                </c:pt>
                <c:pt idx="38">
                  <c:v>147.44000000000003</c:v>
                </c:pt>
                <c:pt idx="39">
                  <c:v>151.32000000000002</c:v>
                </c:pt>
                <c:pt idx="40">
                  <c:v>155.20000000000005</c:v>
                </c:pt>
                <c:pt idx="41">
                  <c:v>159.08000000000001</c:v>
                </c:pt>
                <c:pt idx="42">
                  <c:v>162.95999999999998</c:v>
                </c:pt>
                <c:pt idx="43">
                  <c:v>166.84</c:v>
                </c:pt>
                <c:pt idx="44">
                  <c:v>170.72</c:v>
                </c:pt>
                <c:pt idx="45">
                  <c:v>174.6</c:v>
                </c:pt>
                <c:pt idx="46">
                  <c:v>178.48000000000002</c:v>
                </c:pt>
                <c:pt idx="47">
                  <c:v>182.35999999999999</c:v>
                </c:pt>
                <c:pt idx="48">
                  <c:v>186.23999999999998</c:v>
                </c:pt>
                <c:pt idx="49">
                  <c:v>190.12</c:v>
                </c:pt>
                <c:pt idx="50">
                  <c:v>194</c:v>
                </c:pt>
                <c:pt idx="51">
                  <c:v>197.88</c:v>
                </c:pt>
                <c:pt idx="52">
                  <c:v>201.76000000000002</c:v>
                </c:pt>
                <c:pt idx="53">
                  <c:v>205.64000000000001</c:v>
                </c:pt>
                <c:pt idx="54">
                  <c:v>209.52</c:v>
                </c:pt>
                <c:pt idx="55">
                  <c:v>213.40000000000003</c:v>
                </c:pt>
                <c:pt idx="56">
                  <c:v>217.28000000000003</c:v>
                </c:pt>
                <c:pt idx="57">
                  <c:v>221.15999999999997</c:v>
                </c:pt>
                <c:pt idx="58">
                  <c:v>225.04</c:v>
                </c:pt>
                <c:pt idx="59">
                  <c:v>228.92</c:v>
                </c:pt>
                <c:pt idx="60">
                  <c:v>232.79999999999998</c:v>
                </c:pt>
                <c:pt idx="61">
                  <c:v>236.68</c:v>
                </c:pt>
                <c:pt idx="62">
                  <c:v>240.56</c:v>
                </c:pt>
                <c:pt idx="63">
                  <c:v>244.44</c:v>
                </c:pt>
                <c:pt idx="64">
                  <c:v>248.32</c:v>
                </c:pt>
                <c:pt idx="65">
                  <c:v>252.2</c:v>
                </c:pt>
                <c:pt idx="66">
                  <c:v>256.08000000000004</c:v>
                </c:pt>
                <c:pt idx="67">
                  <c:v>259.96000000000004</c:v>
                </c:pt>
                <c:pt idx="68">
                  <c:v>263.84000000000003</c:v>
                </c:pt>
                <c:pt idx="69">
                  <c:v>267.71999999999997</c:v>
                </c:pt>
                <c:pt idx="70">
                  <c:v>271.59999999999997</c:v>
                </c:pt>
                <c:pt idx="71">
                  <c:v>275.47999999999996</c:v>
                </c:pt>
                <c:pt idx="72">
                  <c:v>279.36</c:v>
                </c:pt>
                <c:pt idx="73">
                  <c:v>283.24</c:v>
                </c:pt>
                <c:pt idx="74">
                  <c:v>287.12</c:v>
                </c:pt>
                <c:pt idx="75">
                  <c:v>291.00000000000006</c:v>
                </c:pt>
                <c:pt idx="76">
                  <c:v>294.88000000000005</c:v>
                </c:pt>
                <c:pt idx="77">
                  <c:v>298.76000000000005</c:v>
                </c:pt>
                <c:pt idx="78">
                  <c:v>302.64000000000004</c:v>
                </c:pt>
                <c:pt idx="79">
                  <c:v>306.5200000000001</c:v>
                </c:pt>
                <c:pt idx="80">
                  <c:v>310.40000000000009</c:v>
                </c:pt>
                <c:pt idx="81">
                  <c:v>314.28000000000009</c:v>
                </c:pt>
                <c:pt idx="82">
                  <c:v>318.16000000000003</c:v>
                </c:pt>
                <c:pt idx="83">
                  <c:v>322.04000000000002</c:v>
                </c:pt>
                <c:pt idx="84">
                  <c:v>325.91999999999996</c:v>
                </c:pt>
                <c:pt idx="85">
                  <c:v>329.8</c:v>
                </c:pt>
                <c:pt idx="86">
                  <c:v>333.68</c:v>
                </c:pt>
                <c:pt idx="87">
                  <c:v>337.56</c:v>
                </c:pt>
                <c:pt idx="88">
                  <c:v>341.44</c:v>
                </c:pt>
                <c:pt idx="89">
                  <c:v>345.32</c:v>
                </c:pt>
                <c:pt idx="90">
                  <c:v>349.2</c:v>
                </c:pt>
                <c:pt idx="91">
                  <c:v>353.08000000000004</c:v>
                </c:pt>
                <c:pt idx="92">
                  <c:v>356.96000000000004</c:v>
                </c:pt>
                <c:pt idx="93">
                  <c:v>360.84000000000003</c:v>
                </c:pt>
                <c:pt idx="94">
                  <c:v>364.71999999999997</c:v>
                </c:pt>
                <c:pt idx="95">
                  <c:v>368.59999999999997</c:v>
                </c:pt>
                <c:pt idx="96">
                  <c:v>372.47999999999996</c:v>
                </c:pt>
                <c:pt idx="97">
                  <c:v>376.36</c:v>
                </c:pt>
                <c:pt idx="98">
                  <c:v>380.24</c:v>
                </c:pt>
                <c:pt idx="99">
                  <c:v>384.12</c:v>
                </c:pt>
                <c:pt idx="100">
                  <c:v>388</c:v>
                </c:pt>
              </c:numCache>
            </c:numRef>
          </c:val>
          <c:smooth val="0"/>
        </c:ser>
        <c:ser>
          <c:idx val="3"/>
          <c:order val="2"/>
          <c:tx>
            <c:strRef>
              <c:f>'Calculations - Single'!$BG$3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Single'!$BM$5:$BM$105</c:f>
              <c:numCache>
                <c:formatCode>0.0</c:formatCode>
                <c:ptCount val="101"/>
                <c:pt idx="0">
                  <c:v>8.8235660087713672</c:v>
                </c:pt>
                <c:pt idx="1">
                  <c:v>14.276514185454618</c:v>
                </c:pt>
                <c:pt idx="2">
                  <c:v>21.593812245610554</c:v>
                </c:pt>
                <c:pt idx="3">
                  <c:v>28.911894306448385</c:v>
                </c:pt>
                <c:pt idx="4">
                  <c:v>36.230760493975687</c:v>
                </c:pt>
                <c:pt idx="5">
                  <c:v>43.550410934227052</c:v>
                </c:pt>
                <c:pt idx="6">
                  <c:v>50.870845753264064</c:v>
                </c:pt>
                <c:pt idx="7">
                  <c:v>58.192065077175329</c:v>
                </c:pt>
                <c:pt idx="8">
                  <c:v>65.514069032076492</c:v>
                </c:pt>
                <c:pt idx="9">
                  <c:v>74.373830088438908</c:v>
                </c:pt>
                <c:pt idx="10">
                  <c:v>76.500724543002647</c:v>
                </c:pt>
                <c:pt idx="11">
                  <c:v>78.556731459263943</c:v>
                </c:pt>
                <c:pt idx="12">
                  <c:v>80.552849766841518</c:v>
                </c:pt>
                <c:pt idx="13">
                  <c:v>82.497769171632314</c:v>
                </c:pt>
                <c:pt idx="14">
                  <c:v>84.398489160125067</c:v>
                </c:pt>
                <c:pt idx="15">
                  <c:v>86.260740536588031</c:v>
                </c:pt>
                <c:pt idx="16">
                  <c:v>88.089281297639516</c:v>
                </c:pt>
                <c:pt idx="17">
                  <c:v>89.888109718498782</c:v>
                </c:pt>
                <c:pt idx="18">
                  <c:v>91.6606212576133</c:v>
                </c:pt>
                <c:pt idx="19">
                  <c:v>93.409726346245805</c:v>
                </c:pt>
                <c:pt idx="20">
                  <c:v>95.13794032880925</c:v>
                </c:pt>
                <c:pt idx="21">
                  <c:v>96.847453179892412</c:v>
                </c:pt>
                <c:pt idx="22">
                  <c:v>98.540184276023496</c:v>
                </c:pt>
                <c:pt idx="23">
                  <c:v>100.21782594817978</c:v>
                </c:pt>
                <c:pt idx="24">
                  <c:v>101.88187849244726</c:v>
                </c:pt>
                <c:pt idx="25">
                  <c:v>103.53367859373796</c:v>
                </c:pt>
                <c:pt idx="26">
                  <c:v>105.17442261077133</c:v>
                </c:pt>
                <c:pt idx="27">
                  <c:v>106.80518580940694</c:v>
                </c:pt>
                <c:pt idx="28">
                  <c:v>108.42693837025037</c:v>
                </c:pt>
                <c:pt idx="29">
                  <c:v>110.04055880502067</c:v>
                </c:pt>
                <c:pt idx="30">
                  <c:v>111.64684527410849</c:v>
                </c:pt>
                <c:pt idx="31">
                  <c:v>113.24652519112249</c:v>
                </c:pt>
                <c:pt idx="32">
                  <c:v>114.84026341933846</c:v>
                </c:pt>
                <c:pt idx="33">
                  <c:v>116.4286693030072</c:v>
                </c:pt>
                <c:pt idx="34">
                  <c:v>118.01230272858449</c:v>
                </c:pt>
                <c:pt idx="35">
                  <c:v>119.59167937360598</c:v>
                </c:pt>
                <c:pt idx="36">
                  <c:v>121.16727527158986</c:v>
                </c:pt>
                <c:pt idx="37">
                  <c:v>122.73953079811929</c:v>
                </c:pt>
                <c:pt idx="38">
                  <c:v>124.30885416473603</c:v>
                </c:pt>
                <c:pt idx="39">
                  <c:v>125.87562449241358</c:v>
                </c:pt>
                <c:pt idx="40">
                  <c:v>127.44019452437605</c:v>
                </c:pt>
                <c:pt idx="41">
                  <c:v>129.00289302827807</c:v>
                </c:pt>
                <c:pt idx="42">
                  <c:v>130.56402692979975</c:v>
                </c:pt>
                <c:pt idx="43">
                  <c:v>132.12388321317005</c:v>
                </c:pt>
                <c:pt idx="44">
                  <c:v>133.68273061873668</c:v>
                </c:pt>
                <c:pt idx="45">
                  <c:v>135.24082116322839</c:v>
                </c:pt>
                <c:pt idx="46">
                  <c:v>136.79839150462612</c:v>
                </c:pt>
                <c:pt idx="47">
                  <c:v>138.35566417044632</c:v>
                </c:pt>
                <c:pt idx="48">
                  <c:v>139.91284866561875</c:v>
                </c:pt>
                <c:pt idx="49">
                  <c:v>141.47014247393761</c:v>
                </c:pt>
                <c:pt idx="50">
                  <c:v>143.02773196519271</c:v>
                </c:pt>
                <c:pt idx="51">
                  <c:v>144.58579321850405</c:v>
                </c:pt>
                <c:pt idx="52">
                  <c:v>146.14449277102975</c:v>
                </c:pt>
                <c:pt idx="53">
                  <c:v>147.70398830006093</c:v>
                </c:pt>
                <c:pt idx="54">
                  <c:v>149.26442924552572</c:v>
                </c:pt>
                <c:pt idx="55">
                  <c:v>150.82595737907099</c:v>
                </c:pt>
                <c:pt idx="56">
                  <c:v>152.38870732515491</c:v>
                </c:pt>
                <c:pt idx="57">
                  <c:v>153.95280703894588</c:v>
                </c:pt>
                <c:pt idx="58">
                  <c:v>155.51837824527001</c:v>
                </c:pt>
                <c:pt idx="59">
                  <c:v>157.08553684237037</c:v>
                </c:pt>
                <c:pt idx="60">
                  <c:v>158.6543932738206</c:v>
                </c:pt>
                <c:pt idx="61">
                  <c:v>160.2250528715692</c:v>
                </c:pt>
                <c:pt idx="62">
                  <c:v>161.79761617277074</c:v>
                </c:pt>
                <c:pt idx="63">
                  <c:v>163.37217921277679</c:v>
                </c:pt>
                <c:pt idx="64">
                  <c:v>164.94883379641306</c:v>
                </c:pt>
                <c:pt idx="65">
                  <c:v>166.52766774944945</c:v>
                </c:pt>
                <c:pt idx="66">
                  <c:v>168.10876515197577</c:v>
                </c:pt>
                <c:pt idx="67">
                  <c:v>169.69220655522705</c:v>
                </c:pt>
                <c:pt idx="68">
                  <c:v>171.27806918324714</c:v>
                </c:pt>
                <c:pt idx="69">
                  <c:v>172.86642712064909</c:v>
                </c:pt>
                <c:pt idx="70">
                  <c:v>174.4573514876048</c:v>
                </c:pt>
                <c:pt idx="71">
                  <c:v>176.05091060309536</c:v>
                </c:pt>
                <c:pt idx="72">
                  <c:v>177.64717013735282</c:v>
                </c:pt>
                <c:pt idx="73">
                  <c:v>179.24619325434261</c:v>
                </c:pt>
                <c:pt idx="74">
                  <c:v>180.84804074505544</c:v>
                </c:pt>
                <c:pt idx="75">
                  <c:v>182.45277115231153</c:v>
                </c:pt>
                <c:pt idx="76">
                  <c:v>184.06044088771748</c:v>
                </c:pt>
                <c:pt idx="77">
                  <c:v>185.6711043413581</c:v>
                </c:pt>
                <c:pt idx="78">
                  <c:v>187.28481398475972</c:v>
                </c:pt>
                <c:pt idx="79">
                  <c:v>187.50266579917815</c:v>
                </c:pt>
                <c:pt idx="80">
                  <c:v>186.79884244662313</c:v>
                </c:pt>
                <c:pt idx="81">
                  <c:v>186.1144544468896</c:v>
                </c:pt>
                <c:pt idx="82">
                  <c:v>185.44882527935141</c:v>
                </c:pt>
                <c:pt idx="83">
                  <c:v>184.63934315240178</c:v>
                </c:pt>
                <c:pt idx="84">
                  <c:v>185.54722341513684</c:v>
                </c:pt>
                <c:pt idx="85">
                  <c:v>186.47973422321118</c:v>
                </c:pt>
                <c:pt idx="86">
                  <c:v>187.43661314369785</c:v>
                </c:pt>
                <c:pt idx="87">
                  <c:v>188.41761190403716</c:v>
                </c:pt>
                <c:pt idx="88">
                  <c:v>189.42249561727269</c:v>
                </c:pt>
                <c:pt idx="89">
                  <c:v>190.45104205972427</c:v>
                </c:pt>
                <c:pt idx="90">
                  <c:v>191.50304099702169</c:v>
                </c:pt>
                <c:pt idx="91">
                  <c:v>192.57829355478347</c:v>
                </c:pt>
                <c:pt idx="92">
                  <c:v>193.67661163054609</c:v>
                </c:pt>
                <c:pt idx="93">
                  <c:v>194.79781734384241</c:v>
                </c:pt>
                <c:pt idx="94">
                  <c:v>195.94174252159169</c:v>
                </c:pt>
                <c:pt idx="95">
                  <c:v>197.10822821620326</c:v>
                </c:pt>
                <c:pt idx="96">
                  <c:v>198.29712425400953</c:v>
                </c:pt>
                <c:pt idx="97">
                  <c:v>199.50828881184648</c:v>
                </c:pt>
                <c:pt idx="98">
                  <c:v>200.74158801977066</c:v>
                </c:pt>
                <c:pt idx="99">
                  <c:v>201.9968955880702</c:v>
                </c:pt>
                <c:pt idx="100">
                  <c:v>203.27409245687218</c:v>
                </c:pt>
              </c:numCache>
            </c:numRef>
          </c:val>
          <c:smooth val="0"/>
        </c:ser>
        <c:ser>
          <c:idx val="1"/>
          <c:order val="3"/>
          <c:tx>
            <c:strRef>
              <c:f>'Calculations - Single'!$BR$3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Single'!$BW$5:$BW$105</c:f>
              <c:numCache>
                <c:formatCode>0.0</c:formatCode>
                <c:ptCount val="101"/>
                <c:pt idx="0">
                  <c:v>12.177045224592327</c:v>
                </c:pt>
                <c:pt idx="1">
                  <c:v>12.404333421406649</c:v>
                </c:pt>
                <c:pt idx="2">
                  <c:v>12.789325213446855</c:v>
                </c:pt>
                <c:pt idx="3">
                  <c:v>13.299976976697279</c:v>
                </c:pt>
                <c:pt idx="4">
                  <c:v>13.964997677190505</c:v>
                </c:pt>
                <c:pt idx="5">
                  <c:v>14.808450819706566</c:v>
                </c:pt>
                <c:pt idx="6">
                  <c:v>15.851489629168446</c:v>
                </c:pt>
                <c:pt idx="7">
                  <c:v>17.113216814219221</c:v>
                </c:pt>
                <c:pt idx="8">
                  <c:v>18.61118776538402</c:v>
                </c:pt>
                <c:pt idx="9">
                  <c:v>22.801184443277592</c:v>
                </c:pt>
                <c:pt idx="10">
                  <c:v>25.47987264335023</c:v>
                </c:pt>
                <c:pt idx="11">
                  <c:v>28.174914675517972</c:v>
                </c:pt>
                <c:pt idx="12">
                  <c:v>30.885044906294382</c:v>
                </c:pt>
                <c:pt idx="13">
                  <c:v>33.609191647608114</c:v>
                </c:pt>
                <c:pt idx="14">
                  <c:v>36.346434752501899</c:v>
                </c:pt>
                <c:pt idx="15">
                  <c:v>39.095974871724565</c:v>
                </c:pt>
                <c:pt idx="16">
                  <c:v>41.857110593598875</c:v>
                </c:pt>
                <c:pt idx="17">
                  <c:v>44.629221075349697</c:v>
                </c:pt>
                <c:pt idx="18">
                  <c:v>47.411752599038536</c:v>
                </c:pt>
                <c:pt idx="19">
                  <c:v>50.204207995221637</c:v>
                </c:pt>
                <c:pt idx="20">
                  <c:v>53.006138203105102</c:v>
                </c:pt>
                <c:pt idx="21">
                  <c:v>55.817135449891886</c:v>
                </c:pt>
                <c:pt idx="22">
                  <c:v>58.636827676077715</c:v>
                </c:pt>
                <c:pt idx="23">
                  <c:v>61.464873932628869</c:v>
                </c:pt>
                <c:pt idx="24">
                  <c:v>64.300960545608589</c:v>
                </c:pt>
                <c:pt idx="25">
                  <c:v>67.144797893580176</c:v>
                </c:pt>
                <c:pt idx="26">
                  <c:v>69.996117679249181</c:v>
                </c:pt>
                <c:pt idx="27">
                  <c:v>72.854670603428403</c:v>
                </c:pt>
                <c:pt idx="28">
                  <c:v>75.720224369282988</c:v>
                </c:pt>
                <c:pt idx="29">
                  <c:v>78.592561959833077</c:v>
                </c:pt>
                <c:pt idx="30">
                  <c:v>81.471480143165195</c:v>
                </c:pt>
                <c:pt idx="31">
                  <c:v>84.356788168664849</c:v>
                </c:pt>
                <c:pt idx="32">
                  <c:v>87.248306624487753</c:v>
                </c:pt>
                <c:pt idx="33">
                  <c:v>90.145866431917185</c:v>
                </c:pt>
                <c:pt idx="34">
                  <c:v>93.049307956560298</c:v>
                </c:pt>
                <c:pt idx="35">
                  <c:v>95.958480219775936</c:v>
                </c:pt>
                <c:pt idx="36">
                  <c:v>98.873240196492944</c:v>
                </c:pt>
                <c:pt idx="37">
                  <c:v>101.79345218782335</c:v>
                </c:pt>
                <c:pt idx="38">
                  <c:v>104.71898725869983</c:v>
                </c:pt>
                <c:pt idx="39">
                  <c:v>107.6497227322682</c:v>
                </c:pt>
                <c:pt idx="40">
                  <c:v>110.58554173400223</c:v>
                </c:pt>
                <c:pt idx="41">
                  <c:v>113.52633277953238</c:v>
                </c:pt>
                <c:pt idx="42">
                  <c:v>116.47198940103671</c:v>
                </c:pt>
                <c:pt idx="43">
                  <c:v>119.42240980775512</c:v>
                </c:pt>
                <c:pt idx="44">
                  <c:v>122.37749657679255</c:v>
                </c:pt>
                <c:pt idx="45">
                  <c:v>125.33715637088319</c:v>
                </c:pt>
                <c:pt idx="46">
                  <c:v>128.30129968021976</c:v>
                </c:pt>
                <c:pt idx="47">
                  <c:v>131.26984058581996</c:v>
                </c:pt>
                <c:pt idx="48">
                  <c:v>134.24269654221351</c:v>
                </c:pt>
                <c:pt idx="49">
                  <c:v>137.21978817750525</c:v>
                </c:pt>
                <c:pt idx="50">
                  <c:v>140.20103910909972</c:v>
                </c:pt>
                <c:pt idx="51">
                  <c:v>143.18637577357219</c:v>
                </c:pt>
                <c:pt idx="52">
                  <c:v>146.17572726934614</c:v>
                </c:pt>
                <c:pt idx="53">
                  <c:v>149.16902521098552</c:v>
                </c:pt>
                <c:pt idx="54">
                  <c:v>152.16620359404331</c:v>
                </c:pt>
                <c:pt idx="55">
                  <c:v>155.16719866951931</c:v>
                </c:pt>
                <c:pt idx="56">
                  <c:v>158.17194882708444</c:v>
                </c:pt>
                <c:pt idx="57">
                  <c:v>161.18039448631302</c:v>
                </c:pt>
                <c:pt idx="58">
                  <c:v>164.19247799524416</c:v>
                </c:pt>
                <c:pt idx="59">
                  <c:v>167.20814353566104</c:v>
                </c:pt>
                <c:pt idx="60">
                  <c:v>170.22733703453738</c:v>
                </c:pt>
                <c:pt idx="61">
                  <c:v>173.25000608115397</c:v>
                </c:pt>
                <c:pt idx="62">
                  <c:v>176.27609984943598</c:v>
                </c:pt>
                <c:pt idx="63">
                  <c:v>179.30556902510199</c:v>
                </c:pt>
                <c:pt idx="64">
                  <c:v>182.33836573725912</c:v>
                </c:pt>
                <c:pt idx="65">
                  <c:v>185.37444349410271</c:v>
                </c:pt>
                <c:pt idx="66">
                  <c:v>188.41375712242063</c:v>
                </c:pt>
                <c:pt idx="67">
                  <c:v>191.456262710619</c:v>
                </c:pt>
                <c:pt idx="68">
                  <c:v>194.50191755501743</c:v>
                </c:pt>
                <c:pt idx="69">
                  <c:v>197.55068010918023</c:v>
                </c:pt>
                <c:pt idx="70">
                  <c:v>200.60250993607093</c:v>
                </c:pt>
                <c:pt idx="71">
                  <c:v>203.65736766283504</c:v>
                </c:pt>
                <c:pt idx="72">
                  <c:v>206.71521493803064</c:v>
                </c:pt>
                <c:pt idx="73">
                  <c:v>209.77601439114505</c:v>
                </c:pt>
                <c:pt idx="74">
                  <c:v>212.8397295942429</c:v>
                </c:pt>
                <c:pt idx="75">
                  <c:v>215.90632502560783</c:v>
                </c:pt>
                <c:pt idx="76">
                  <c:v>218.97576603524945</c:v>
                </c:pt>
                <c:pt idx="77">
                  <c:v>222.04801881215539</c:v>
                </c:pt>
                <c:pt idx="78">
                  <c:v>225.12305035318008</c:v>
                </c:pt>
                <c:pt idx="79">
                  <c:v>226.26604522445635</c:v>
                </c:pt>
                <c:pt idx="80">
                  <c:v>226.14742398948175</c:v>
                </c:pt>
                <c:pt idx="81">
                  <c:v>226.07177299181984</c:v>
                </c:pt>
                <c:pt idx="82">
                  <c:v>226.03742171202276</c:v>
                </c:pt>
                <c:pt idx="83">
                  <c:v>225.73919103678736</c:v>
                </c:pt>
                <c:pt idx="84">
                  <c:v>228.65632663475793</c:v>
                </c:pt>
                <c:pt idx="85">
                  <c:v>231.60489291079733</c:v>
                </c:pt>
                <c:pt idx="86">
                  <c:v>234.58492361601441</c:v>
                </c:pt>
                <c:pt idx="87">
                  <c:v>237.59645293204926</c:v>
                </c:pt>
                <c:pt idx="88">
                  <c:v>240.63951547220475</c:v>
                </c:pt>
                <c:pt idx="89">
                  <c:v>243.7141462825906</c:v>
                </c:pt>
                <c:pt idx="90">
                  <c:v>246.82038084328761</c:v>
                </c:pt>
                <c:pt idx="91">
                  <c:v>249.9582550695209</c:v>
                </c:pt>
                <c:pt idx="92">
                  <c:v>253.12780531285472</c:v>
                </c:pt>
                <c:pt idx="93">
                  <c:v>256.32906836239766</c:v>
                </c:pt>
                <c:pt idx="94">
                  <c:v>259.56208144602601</c:v>
                </c:pt>
                <c:pt idx="95">
                  <c:v>262.82688223162444</c:v>
                </c:pt>
                <c:pt idx="96">
                  <c:v>266.12350882833601</c:v>
                </c:pt>
                <c:pt idx="97">
                  <c:v>269.45199978783671</c:v>
                </c:pt>
                <c:pt idx="98">
                  <c:v>272.81239410561835</c:v>
                </c:pt>
                <c:pt idx="99">
                  <c:v>276.20473122229151</c:v>
                </c:pt>
                <c:pt idx="100">
                  <c:v>279.62905102490356</c:v>
                </c:pt>
              </c:numCache>
            </c:numRef>
          </c:val>
          <c:smooth val="0"/>
        </c:ser>
        <c:dLbls>
          <c:showLegendKey val="0"/>
          <c:showVal val="0"/>
          <c:showCatName val="0"/>
          <c:showSerName val="0"/>
          <c:showPercent val="0"/>
          <c:showBubbleSize val="0"/>
        </c:dLbls>
        <c:marker val="1"/>
        <c:smooth val="0"/>
        <c:axId val="154237952"/>
        <c:axId val="154236032"/>
      </c:lineChart>
      <c:catAx>
        <c:axId val="15423193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54233856"/>
        <c:crosses val="autoZero"/>
        <c:auto val="1"/>
        <c:lblAlgn val="ctr"/>
        <c:lblOffset val="100"/>
        <c:tickLblSkip val="20"/>
        <c:tickMarkSkip val="20"/>
        <c:noMultiLvlLbl val="0"/>
      </c:catAx>
      <c:valAx>
        <c:axId val="15423385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54231936"/>
        <c:crossesAt val="0"/>
        <c:crossBetween val="between"/>
        <c:majorUnit val="5"/>
        <c:minorUnit val="2.5"/>
      </c:valAx>
      <c:valAx>
        <c:axId val="154236032"/>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54237952"/>
        <c:crosses val="max"/>
        <c:crossBetween val="between"/>
      </c:valAx>
      <c:catAx>
        <c:axId val="154237952"/>
        <c:scaling>
          <c:orientation val="minMax"/>
        </c:scaling>
        <c:delete val="1"/>
        <c:axPos val="b"/>
        <c:numFmt formatCode="General" sourceLinked="1"/>
        <c:majorTickMark val="out"/>
        <c:minorTickMark val="none"/>
        <c:tickLblPos val="nextTo"/>
        <c:crossAx val="154236032"/>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Dual'!$CA$5:$CA$105</c:f>
              <c:numCache>
                <c:formatCode>0.00</c:formatCode>
                <c:ptCount val="101"/>
                <c:pt idx="0">
                  <c:v>2.9508562113492772E-5</c:v>
                </c:pt>
                <c:pt idx="1">
                  <c:v>62.706815709875329</c:v>
                </c:pt>
                <c:pt idx="2">
                  <c:v>71.518458799526584</c:v>
                </c:pt>
                <c:pt idx="3">
                  <c:v>74.997354893352536</c:v>
                </c:pt>
                <c:pt idx="4">
                  <c:v>76.832421148869102</c:v>
                </c:pt>
                <c:pt idx="5">
                  <c:v>77.944433520233559</c:v>
                </c:pt>
                <c:pt idx="6">
                  <c:v>78.672724049390382</c:v>
                </c:pt>
                <c:pt idx="7">
                  <c:v>79.171743627458511</c:v>
                </c:pt>
                <c:pt idx="8">
                  <c:v>78.909878106025417</c:v>
                </c:pt>
                <c:pt idx="9">
                  <c:v>78.608380954861275</c:v>
                </c:pt>
                <c:pt idx="10">
                  <c:v>79.183318955650506</c:v>
                </c:pt>
                <c:pt idx="11">
                  <c:v>79.66568461857949</c:v>
                </c:pt>
                <c:pt idx="12">
                  <c:v>80.076561709097533</c:v>
                </c:pt>
                <c:pt idx="13">
                  <c:v>80.431016602237534</c:v>
                </c:pt>
                <c:pt idx="14">
                  <c:v>80.740114507854571</c:v>
                </c:pt>
                <c:pt idx="15">
                  <c:v>81.012173011719796</c:v>
                </c:pt>
                <c:pt idx="16">
                  <c:v>81.253570366941702</c:v>
                </c:pt>
                <c:pt idx="17">
                  <c:v>81.469283194721655</c:v>
                </c:pt>
                <c:pt idx="18">
                  <c:v>81.663253967793025</c:v>
                </c:pt>
                <c:pt idx="19">
                  <c:v>81.838648161032822</c:v>
                </c:pt>
                <c:pt idx="20">
                  <c:v>81.998037982057198</c:v>
                </c:pt>
                <c:pt idx="21">
                  <c:v>82.143536096804937</c:v>
                </c:pt>
                <c:pt idx="22">
                  <c:v>82.27689458539173</c:v>
                </c:pt>
                <c:pt idx="23">
                  <c:v>82.399579268800522</c:v>
                </c:pt>
                <c:pt idx="24">
                  <c:v>82.512826294967752</c:v>
                </c:pt>
                <c:pt idx="25">
                  <c:v>82.617685750717854</c:v>
                </c:pt>
                <c:pt idx="26">
                  <c:v>82.715055653271847</c:v>
                </c:pt>
                <c:pt idx="27">
                  <c:v>82.805708717338689</c:v>
                </c:pt>
                <c:pt idx="28">
                  <c:v>82.890313633674907</c:v>
                </c:pt>
                <c:pt idx="29">
                  <c:v>82.969452133019644</c:v>
                </c:pt>
                <c:pt idx="30">
                  <c:v>83.043632781438077</c:v>
                </c:pt>
                <c:pt idx="31">
                  <c:v>83.113302217377168</c:v>
                </c:pt>
                <c:pt idx="32">
                  <c:v>83.178854369212701</c:v>
                </c:pt>
                <c:pt idx="33">
                  <c:v>83.240638065856814</c:v>
                </c:pt>
                <c:pt idx="34">
                  <c:v>83.29896335916321</c:v>
                </c:pt>
                <c:pt idx="35">
                  <c:v>83.354106806423175</c:v>
                </c:pt>
                <c:pt idx="36">
                  <c:v>83.406315907878763</c:v>
                </c:pt>
                <c:pt idx="37">
                  <c:v>83.455812853404495</c:v>
                </c:pt>
                <c:pt idx="38">
                  <c:v>83.502797701102622</c:v>
                </c:pt>
                <c:pt idx="39">
                  <c:v>83.547451086185077</c:v>
                </c:pt>
                <c:pt idx="40">
                  <c:v>83.589936539465782</c:v>
                </c:pt>
                <c:pt idx="41">
                  <c:v>83.630402479797752</c:v>
                </c:pt>
                <c:pt idx="42">
                  <c:v>83.668983932919716</c:v>
                </c:pt>
                <c:pt idx="43">
                  <c:v>83.70580401971965</c:v>
                </c:pt>
                <c:pt idx="44">
                  <c:v>83.740975249345965</c:v>
                </c:pt>
                <c:pt idx="45">
                  <c:v>83.77460064649128</c:v>
                </c:pt>
                <c:pt idx="46">
                  <c:v>83.806774737230654</c:v>
                </c:pt>
                <c:pt idx="47">
                  <c:v>83.837584413771665</c:v>
                </c:pt>
                <c:pt idx="48">
                  <c:v>83.867109695184041</c:v>
                </c:pt>
                <c:pt idx="49">
                  <c:v>83.895424398473637</c:v>
                </c:pt>
                <c:pt idx="50">
                  <c:v>83.922596732136228</c:v>
                </c:pt>
                <c:pt idx="51">
                  <c:v>83.948689822479608</c:v>
                </c:pt>
                <c:pt idx="52">
                  <c:v>83.973762181467009</c:v>
                </c:pt>
                <c:pt idx="53">
                  <c:v>83.997868123552166</c:v>
                </c:pt>
                <c:pt idx="54">
                  <c:v>84.021058137902514</c:v>
                </c:pt>
                <c:pt idx="55">
                  <c:v>84.043379221504381</c:v>
                </c:pt>
                <c:pt idx="56">
                  <c:v>84.064875177880779</c:v>
                </c:pt>
                <c:pt idx="57">
                  <c:v>84.085586885509329</c:v>
                </c:pt>
                <c:pt idx="58">
                  <c:v>84.10555253947922</c:v>
                </c:pt>
                <c:pt idx="59">
                  <c:v>84.130331981902586</c:v>
                </c:pt>
                <c:pt idx="60">
                  <c:v>84.253486516858359</c:v>
                </c:pt>
                <c:pt idx="61">
                  <c:v>84.371223987799027</c:v>
                </c:pt>
                <c:pt idx="62">
                  <c:v>84.483860710410084</c:v>
                </c:pt>
                <c:pt idx="63">
                  <c:v>84.591690258999918</c:v>
                </c:pt>
                <c:pt idx="64">
                  <c:v>84.694985387215851</c:v>
                </c:pt>
                <c:pt idx="65">
                  <c:v>84.793999764071344</c:v>
                </c:pt>
                <c:pt idx="66">
                  <c:v>84.888969545045768</c:v>
                </c:pt>
                <c:pt idx="67">
                  <c:v>84.980114795706868</c:v>
                </c:pt>
                <c:pt idx="68">
                  <c:v>85.067640783286123</c:v>
                </c:pt>
                <c:pt idx="69">
                  <c:v>85.151739149868902</c:v>
                </c:pt>
                <c:pt idx="70">
                  <c:v>85.232588979312411</c:v>
                </c:pt>
                <c:pt idx="71">
                  <c:v>85.310357768644806</c:v>
                </c:pt>
                <c:pt idx="72">
                  <c:v>85.385202313504152</c:v>
                </c:pt>
                <c:pt idx="73">
                  <c:v>85.457269516125308</c:v>
                </c:pt>
                <c:pt idx="74">
                  <c:v>85.526697123456998</c:v>
                </c:pt>
                <c:pt idx="75">
                  <c:v>85.593614402174595</c:v>
                </c:pt>
                <c:pt idx="76">
                  <c:v>85.658142756633666</c:v>
                </c:pt>
                <c:pt idx="77">
                  <c:v>85.720396295170602</c:v>
                </c:pt>
                <c:pt idx="78">
                  <c:v>85.780482349592972</c:v>
                </c:pt>
                <c:pt idx="79">
                  <c:v>85.838501952201582</c:v>
                </c:pt>
                <c:pt idx="80">
                  <c:v>85.89455027424124</c:v>
                </c:pt>
                <c:pt idx="81">
                  <c:v>85.948717029283557</c:v>
                </c:pt>
                <c:pt idx="82">
                  <c:v>86.001086844692864</c:v>
                </c:pt>
                <c:pt idx="83">
                  <c:v>83.388585966295466</c:v>
                </c:pt>
                <c:pt idx="84">
                  <c:v>83.36754852913478</c:v>
                </c:pt>
                <c:pt idx="85">
                  <c:v>83.345515183763268</c:v>
                </c:pt>
                <c:pt idx="86">
                  <c:v>83.322521123515344</c:v>
                </c:pt>
                <c:pt idx="87">
                  <c:v>83.298599806835412</c:v>
                </c:pt>
                <c:pt idx="88">
                  <c:v>83.273783059213912</c:v>
                </c:pt>
                <c:pt idx="89">
                  <c:v>83.24810116804899</c:v>
                </c:pt>
                <c:pt idx="90">
                  <c:v>83.221582970997616</c:v>
                </c:pt>
                <c:pt idx="91">
                  <c:v>83.194255938328084</c:v>
                </c:pt>
                <c:pt idx="92">
                  <c:v>83.166146249742141</c:v>
                </c:pt>
                <c:pt idx="93">
                  <c:v>83.137278866092174</c:v>
                </c:pt>
                <c:pt idx="94">
                  <c:v>83.107677596383439</c:v>
                </c:pt>
                <c:pt idx="95">
                  <c:v>83.077365160416946</c:v>
                </c:pt>
                <c:pt idx="96">
                  <c:v>83.046363247398588</c:v>
                </c:pt>
                <c:pt idx="97">
                  <c:v>83.014692570812869</c:v>
                </c:pt>
                <c:pt idx="98">
                  <c:v>83.110969703331165</c:v>
                </c:pt>
                <c:pt idx="99">
                  <c:v>83.215751113476415</c:v>
                </c:pt>
                <c:pt idx="100">
                  <c:v>83.31827012877973</c:v>
                </c:pt>
              </c:numCache>
            </c:numRef>
          </c:val>
          <c:smooth val="0"/>
        </c:ser>
        <c:dLbls>
          <c:showLegendKey val="0"/>
          <c:showVal val="0"/>
          <c:showCatName val="0"/>
          <c:showSerName val="0"/>
          <c:showPercent val="0"/>
          <c:showBubbleSize val="0"/>
        </c:dLbls>
        <c:marker val="1"/>
        <c:smooth val="0"/>
        <c:axId val="154171648"/>
        <c:axId val="154186112"/>
      </c:lineChart>
      <c:lineChart>
        <c:grouping val="standard"/>
        <c:varyColors val="0"/>
        <c:ser>
          <c:idx val="2"/>
          <c:order val="1"/>
          <c:tx>
            <c:strRef>
              <c:f>'Calculations - Dual'!$BL$3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Dual'!$BP$5:$BP$105</c:f>
              <c:numCache>
                <c:formatCode>0.0</c:formatCode>
                <c:ptCount val="101"/>
                <c:pt idx="0">
                  <c:v>7.7600000000000007E-7</c:v>
                </c:pt>
                <c:pt idx="1">
                  <c:v>5.8199999999999994</c:v>
                </c:pt>
                <c:pt idx="2">
                  <c:v>11.639999999999999</c:v>
                </c:pt>
                <c:pt idx="3">
                  <c:v>17.46</c:v>
                </c:pt>
                <c:pt idx="4">
                  <c:v>23.279999999999998</c:v>
                </c:pt>
                <c:pt idx="5">
                  <c:v>29.100000000000009</c:v>
                </c:pt>
                <c:pt idx="6">
                  <c:v>34.92</c:v>
                </c:pt>
                <c:pt idx="7">
                  <c:v>40.74</c:v>
                </c:pt>
                <c:pt idx="8">
                  <c:v>46.559999999999995</c:v>
                </c:pt>
                <c:pt idx="9">
                  <c:v>52.379999999999995</c:v>
                </c:pt>
                <c:pt idx="10">
                  <c:v>58.200000000000017</c:v>
                </c:pt>
                <c:pt idx="11">
                  <c:v>64.02000000000001</c:v>
                </c:pt>
                <c:pt idx="12">
                  <c:v>69.84</c:v>
                </c:pt>
                <c:pt idx="13">
                  <c:v>75.660000000000011</c:v>
                </c:pt>
                <c:pt idx="14">
                  <c:v>81.48</c:v>
                </c:pt>
                <c:pt idx="15">
                  <c:v>87.299999999999983</c:v>
                </c:pt>
                <c:pt idx="16">
                  <c:v>93.11999999999999</c:v>
                </c:pt>
                <c:pt idx="17">
                  <c:v>98.94</c:v>
                </c:pt>
                <c:pt idx="18">
                  <c:v>104.75999999999999</c:v>
                </c:pt>
                <c:pt idx="19">
                  <c:v>110.58000000000001</c:v>
                </c:pt>
                <c:pt idx="20">
                  <c:v>116.40000000000003</c:v>
                </c:pt>
                <c:pt idx="21">
                  <c:v>122.22</c:v>
                </c:pt>
                <c:pt idx="22">
                  <c:v>128.04000000000002</c:v>
                </c:pt>
                <c:pt idx="23">
                  <c:v>133.86000000000004</c:v>
                </c:pt>
                <c:pt idx="24">
                  <c:v>139.68</c:v>
                </c:pt>
                <c:pt idx="25">
                  <c:v>145.50000000000003</c:v>
                </c:pt>
                <c:pt idx="26">
                  <c:v>151.32000000000002</c:v>
                </c:pt>
                <c:pt idx="27">
                  <c:v>157.14000000000001</c:v>
                </c:pt>
                <c:pt idx="28">
                  <c:v>162.96</c:v>
                </c:pt>
                <c:pt idx="29">
                  <c:v>168.77999999999997</c:v>
                </c:pt>
                <c:pt idx="30">
                  <c:v>174.59999999999997</c:v>
                </c:pt>
                <c:pt idx="31">
                  <c:v>180.42</c:v>
                </c:pt>
                <c:pt idx="32">
                  <c:v>186.23999999999998</c:v>
                </c:pt>
                <c:pt idx="33">
                  <c:v>192.06</c:v>
                </c:pt>
                <c:pt idx="34">
                  <c:v>197.88</c:v>
                </c:pt>
                <c:pt idx="35">
                  <c:v>203.69999999999996</c:v>
                </c:pt>
                <c:pt idx="36">
                  <c:v>209.51999999999998</c:v>
                </c:pt>
                <c:pt idx="37">
                  <c:v>215.33999999999997</c:v>
                </c:pt>
                <c:pt idx="38">
                  <c:v>221.16000000000003</c:v>
                </c:pt>
                <c:pt idx="39">
                  <c:v>226.98000000000002</c:v>
                </c:pt>
                <c:pt idx="40">
                  <c:v>232.80000000000007</c:v>
                </c:pt>
                <c:pt idx="41">
                  <c:v>238.62</c:v>
                </c:pt>
                <c:pt idx="42">
                  <c:v>244.44</c:v>
                </c:pt>
                <c:pt idx="43">
                  <c:v>250.26000000000005</c:v>
                </c:pt>
                <c:pt idx="44">
                  <c:v>256.08000000000004</c:v>
                </c:pt>
                <c:pt idx="45">
                  <c:v>261.90000000000003</c:v>
                </c:pt>
                <c:pt idx="46">
                  <c:v>267.72000000000008</c:v>
                </c:pt>
                <c:pt idx="47">
                  <c:v>273.54000000000002</c:v>
                </c:pt>
                <c:pt idx="48">
                  <c:v>279.36</c:v>
                </c:pt>
                <c:pt idx="49">
                  <c:v>285.18</c:v>
                </c:pt>
                <c:pt idx="50">
                  <c:v>291.00000000000006</c:v>
                </c:pt>
                <c:pt idx="51">
                  <c:v>296.82</c:v>
                </c:pt>
                <c:pt idx="52">
                  <c:v>302.64000000000004</c:v>
                </c:pt>
                <c:pt idx="53">
                  <c:v>308.46000000000004</c:v>
                </c:pt>
                <c:pt idx="54">
                  <c:v>314.28000000000003</c:v>
                </c:pt>
                <c:pt idx="55">
                  <c:v>320.10000000000002</c:v>
                </c:pt>
                <c:pt idx="56">
                  <c:v>325.92</c:v>
                </c:pt>
                <c:pt idx="57">
                  <c:v>331.7399999999999</c:v>
                </c:pt>
                <c:pt idx="58">
                  <c:v>337.55999999999995</c:v>
                </c:pt>
                <c:pt idx="59">
                  <c:v>343.37999999999994</c:v>
                </c:pt>
                <c:pt idx="60">
                  <c:v>349.19999999999993</c:v>
                </c:pt>
                <c:pt idx="61">
                  <c:v>355.02</c:v>
                </c:pt>
                <c:pt idx="62">
                  <c:v>360.84</c:v>
                </c:pt>
                <c:pt idx="63">
                  <c:v>366.65999999999997</c:v>
                </c:pt>
                <c:pt idx="64">
                  <c:v>372.47999999999996</c:v>
                </c:pt>
                <c:pt idx="65">
                  <c:v>378.29999999999995</c:v>
                </c:pt>
                <c:pt idx="66">
                  <c:v>384.12</c:v>
                </c:pt>
                <c:pt idx="67">
                  <c:v>389.94000000000005</c:v>
                </c:pt>
                <c:pt idx="68">
                  <c:v>395.76</c:v>
                </c:pt>
                <c:pt idx="69">
                  <c:v>401.57999999999993</c:v>
                </c:pt>
                <c:pt idx="70">
                  <c:v>407.39999999999992</c:v>
                </c:pt>
                <c:pt idx="71">
                  <c:v>413.21999999999991</c:v>
                </c:pt>
                <c:pt idx="72">
                  <c:v>419.03999999999996</c:v>
                </c:pt>
                <c:pt idx="73">
                  <c:v>424.86</c:v>
                </c:pt>
                <c:pt idx="74">
                  <c:v>430.67999999999995</c:v>
                </c:pt>
                <c:pt idx="75">
                  <c:v>436.50000000000006</c:v>
                </c:pt>
                <c:pt idx="76">
                  <c:v>442.32000000000005</c:v>
                </c:pt>
                <c:pt idx="77">
                  <c:v>448.14000000000004</c:v>
                </c:pt>
                <c:pt idx="78">
                  <c:v>453.96000000000004</c:v>
                </c:pt>
                <c:pt idx="79">
                  <c:v>459.78000000000009</c:v>
                </c:pt>
                <c:pt idx="80">
                  <c:v>465.60000000000014</c:v>
                </c:pt>
                <c:pt idx="81">
                  <c:v>471.42000000000007</c:v>
                </c:pt>
                <c:pt idx="82">
                  <c:v>477.24</c:v>
                </c:pt>
                <c:pt idx="83">
                  <c:v>483.06</c:v>
                </c:pt>
                <c:pt idx="84">
                  <c:v>488.88</c:v>
                </c:pt>
                <c:pt idx="85">
                  <c:v>494.70000000000005</c:v>
                </c:pt>
                <c:pt idx="86">
                  <c:v>500.5200000000001</c:v>
                </c:pt>
                <c:pt idx="87">
                  <c:v>506.34000000000003</c:v>
                </c:pt>
                <c:pt idx="88">
                  <c:v>512.16000000000008</c:v>
                </c:pt>
                <c:pt idx="89">
                  <c:v>517.98</c:v>
                </c:pt>
                <c:pt idx="90">
                  <c:v>523.80000000000007</c:v>
                </c:pt>
                <c:pt idx="91">
                  <c:v>529.62000000000012</c:v>
                </c:pt>
                <c:pt idx="92">
                  <c:v>535.44000000000017</c:v>
                </c:pt>
                <c:pt idx="93">
                  <c:v>541.2600000000001</c:v>
                </c:pt>
                <c:pt idx="94">
                  <c:v>547.08000000000004</c:v>
                </c:pt>
                <c:pt idx="95">
                  <c:v>552.9</c:v>
                </c:pt>
                <c:pt idx="96">
                  <c:v>558.72</c:v>
                </c:pt>
                <c:pt idx="97">
                  <c:v>564.54000000000008</c:v>
                </c:pt>
                <c:pt idx="98">
                  <c:v>570.36</c:v>
                </c:pt>
                <c:pt idx="99">
                  <c:v>576.18000000000006</c:v>
                </c:pt>
                <c:pt idx="100">
                  <c:v>582.00000000000011</c:v>
                </c:pt>
              </c:numCache>
            </c:numRef>
          </c:val>
          <c:smooth val="0"/>
        </c:ser>
        <c:ser>
          <c:idx val="3"/>
          <c:order val="2"/>
          <c:tx>
            <c:strRef>
              <c:f>'Calculations - Dual'!$BE$3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Dual'!$BK$5:$BK$105</c:f>
              <c:numCache>
                <c:formatCode>0.0</c:formatCode>
                <c:ptCount val="101"/>
                <c:pt idx="0">
                  <c:v>8.8235660087713672</c:v>
                </c:pt>
                <c:pt idx="1">
                  <c:v>14.276514185454618</c:v>
                </c:pt>
                <c:pt idx="2">
                  <c:v>21.593812245610554</c:v>
                </c:pt>
                <c:pt idx="3">
                  <c:v>28.911894306448385</c:v>
                </c:pt>
                <c:pt idx="4">
                  <c:v>36.230760493975687</c:v>
                </c:pt>
                <c:pt idx="5">
                  <c:v>43.550410934227052</c:v>
                </c:pt>
                <c:pt idx="6">
                  <c:v>50.870845753264064</c:v>
                </c:pt>
                <c:pt idx="7">
                  <c:v>58.192065077175329</c:v>
                </c:pt>
                <c:pt idx="8">
                  <c:v>67.516546105688306</c:v>
                </c:pt>
                <c:pt idx="9">
                  <c:v>76.840796224107422</c:v>
                </c:pt>
                <c:pt idx="10">
                  <c:v>79.146273217564314</c:v>
                </c:pt>
                <c:pt idx="11">
                  <c:v>81.378823903925181</c:v>
                </c:pt>
                <c:pt idx="12">
                  <c:v>83.550033959854076</c:v>
                </c:pt>
                <c:pt idx="13">
                  <c:v>85.669048723688505</c:v>
                </c:pt>
                <c:pt idx="14">
                  <c:v>87.74322831172455</c:v>
                </c:pt>
                <c:pt idx="15">
                  <c:v>89.778593578939834</c:v>
                </c:pt>
                <c:pt idx="16">
                  <c:v>91.780139017657987</c:v>
                </c:pt>
                <c:pt idx="17">
                  <c:v>93.752058018613283</c:v>
                </c:pt>
                <c:pt idx="18">
                  <c:v>95.697908676978898</c:v>
                </c:pt>
                <c:pt idx="19">
                  <c:v>97.620738216467714</c:v>
                </c:pt>
                <c:pt idx="20">
                  <c:v>99.523177958866498</c:v>
                </c:pt>
                <c:pt idx="21">
                  <c:v>101.40751691084606</c:v>
                </c:pt>
                <c:pt idx="22">
                  <c:v>103.27575955337269</c:v>
                </c:pt>
                <c:pt idx="23">
                  <c:v>105.12967177570508</c:v>
                </c:pt>
                <c:pt idx="24">
                  <c:v>106.97081778589281</c:v>
                </c:pt>
                <c:pt idx="25">
                  <c:v>108.80059006500305</c:v>
                </c:pt>
                <c:pt idx="26">
                  <c:v>110.62023389611791</c:v>
                </c:pt>
                <c:pt idx="27">
                  <c:v>112.4308676170907</c:v>
                </c:pt>
                <c:pt idx="28">
                  <c:v>114.23349946980022</c:v>
                </c:pt>
                <c:pt idx="29">
                  <c:v>116.02904171619407</c:v>
                </c:pt>
                <c:pt idx="30">
                  <c:v>117.81832254120836</c:v>
                </c:pt>
                <c:pt idx="31">
                  <c:v>119.60209614993043</c:v>
                </c:pt>
                <c:pt idx="32">
                  <c:v>121.38105138088736</c:v>
                </c:pt>
                <c:pt idx="33">
                  <c:v>123.1558190918724</c:v>
                </c:pt>
                <c:pt idx="34">
                  <c:v>124.92697852412462</c:v>
                </c:pt>
                <c:pt idx="35">
                  <c:v>126.69506281123813</c:v>
                </c:pt>
                <c:pt idx="36">
                  <c:v>128.46056376819305</c:v>
                </c:pt>
                <c:pt idx="37">
                  <c:v>130.22393607137207</c:v>
                </c:pt>
                <c:pt idx="38">
                  <c:v>131.98560092087885</c:v>
                </c:pt>
                <c:pt idx="39">
                  <c:v>133.74594926078808</c:v>
                </c:pt>
                <c:pt idx="40">
                  <c:v>135.50534462029043</c:v>
                </c:pt>
                <c:pt idx="41">
                  <c:v>137.26412562841446</c:v>
                </c:pt>
                <c:pt idx="42">
                  <c:v>139.02260824660621</c:v>
                </c:pt>
                <c:pt idx="43">
                  <c:v>140.78108775655198</c:v>
                </c:pt>
                <c:pt idx="44">
                  <c:v>142.53984053494455</c:v>
                </c:pt>
                <c:pt idx="45">
                  <c:v>144.29912564217256</c:v>
                </c:pt>
                <c:pt idx="46">
                  <c:v>146.0591862479919</c:v>
                </c:pt>
                <c:pt idx="47">
                  <c:v>147.820250913949</c:v>
                </c:pt>
                <c:pt idx="48">
                  <c:v>149.58253474957277</c:v>
                </c:pt>
                <c:pt idx="49">
                  <c:v>151.34624045702535</c:v>
                </c:pt>
                <c:pt idx="50">
                  <c:v>153.11155927693494</c:v>
                </c:pt>
                <c:pt idx="51">
                  <c:v>154.87867184646538</c:v>
                </c:pt>
                <c:pt idx="52">
                  <c:v>156.64774897925341</c:v>
                </c:pt>
                <c:pt idx="53">
                  <c:v>158.41895237562622</c:v>
                </c:pt>
                <c:pt idx="54">
                  <c:v>160.19243527047246</c:v>
                </c:pt>
                <c:pt idx="55">
                  <c:v>161.96834302523854</c:v>
                </c:pt>
                <c:pt idx="56">
                  <c:v>163.74681366975025</c:v>
                </c:pt>
                <c:pt idx="57">
                  <c:v>165.52797839888979</c:v>
                </c:pt>
                <c:pt idx="58">
                  <c:v>167.31196202857674</c:v>
                </c:pt>
                <c:pt idx="59">
                  <c:v>168.95562729756543</c:v>
                </c:pt>
                <c:pt idx="60">
                  <c:v>167.98245050809132</c:v>
                </c:pt>
                <c:pt idx="61">
                  <c:v>167.04301774079138</c:v>
                </c:pt>
                <c:pt idx="62">
                  <c:v>166.13578179752449</c:v>
                </c:pt>
                <c:pt idx="63">
                  <c:v>165.25928935384411</c:v>
                </c:pt>
                <c:pt idx="64">
                  <c:v>164.4121738855745</c:v>
                </c:pt>
                <c:pt idx="65">
                  <c:v>163.593149229478</c:v>
                </c:pt>
                <c:pt idx="66">
                  <c:v>162.80100371237035</c:v>
                </c:pt>
                <c:pt idx="67">
                  <c:v>162.03459479072268</c:v>
                </c:pt>
                <c:pt idx="68">
                  <c:v>161.2928441494681</c:v>
                </c:pt>
                <c:pt idx="69">
                  <c:v>160.57473321455552</c:v>
                </c:pt>
                <c:pt idx="70">
                  <c:v>159.87929903888036</c:v>
                </c:pt>
                <c:pt idx="71">
                  <c:v>159.2056305256792</c:v>
                </c:pt>
                <c:pt idx="72">
                  <c:v>158.55286495738142</c:v>
                </c:pt>
                <c:pt idx="73">
                  <c:v>157.92018480134598</c:v>
                </c:pt>
                <c:pt idx="74">
                  <c:v>157.30681476693718</c:v>
                </c:pt>
                <c:pt idx="75">
                  <c:v>156.71201909105943</c:v>
                </c:pt>
                <c:pt idx="76">
                  <c:v>156.13509903162969</c:v>
                </c:pt>
                <c:pt idx="77">
                  <c:v>155.57539055055457</c:v>
                </c:pt>
                <c:pt idx="78">
                  <c:v>155.03226216962744</c:v>
                </c:pt>
                <c:pt idx="79">
                  <c:v>154.50511298440679</c:v>
                </c:pt>
                <c:pt idx="80">
                  <c:v>153.993370822598</c:v>
                </c:pt>
                <c:pt idx="81">
                  <c:v>153.49649053476432</c:v>
                </c:pt>
                <c:pt idx="82">
                  <c:v>153.01395240635392</c:v>
                </c:pt>
                <c:pt idx="83">
                  <c:v>217.81549105381751</c:v>
                </c:pt>
                <c:pt idx="84">
                  <c:v>219.84176086023686</c:v>
                </c:pt>
                <c:pt idx="85">
                  <c:v>221.90497658609939</c:v>
                </c:pt>
                <c:pt idx="86">
                  <c:v>224.00503113402416</c:v>
                </c:pt>
                <c:pt idx="87">
                  <c:v>226.14182946311195</c:v>
                </c:pt>
                <c:pt idx="88">
                  <c:v>228.31528801993684</c:v>
                </c:pt>
                <c:pt idx="89">
                  <c:v>230.5253342092127</c:v>
                </c:pt>
                <c:pt idx="90">
                  <c:v>232.77190590107207</c:v>
                </c:pt>
                <c:pt idx="91">
                  <c:v>235.05495097216627</c:v>
                </c:pt>
                <c:pt idx="92">
                  <c:v>237.37442687803983</c:v>
                </c:pt>
                <c:pt idx="93">
                  <c:v>239.73030025445243</c:v>
                </c:pt>
                <c:pt idx="94">
                  <c:v>242.12254654551509</c:v>
                </c:pt>
                <c:pt idx="95">
                  <c:v>244.55114965669475</c:v>
                </c:pt>
                <c:pt idx="96">
                  <c:v>247.01610163089865</c:v>
                </c:pt>
                <c:pt idx="97">
                  <c:v>249.51740234599887</c:v>
                </c:pt>
                <c:pt idx="98">
                  <c:v>248.36192914312588</c:v>
                </c:pt>
                <c:pt idx="99">
                  <c:v>246.91702393630175</c:v>
                </c:pt>
                <c:pt idx="100">
                  <c:v>245.49096493128164</c:v>
                </c:pt>
              </c:numCache>
            </c:numRef>
          </c:val>
          <c:smooth val="0"/>
        </c:ser>
        <c:ser>
          <c:idx val="1"/>
          <c:order val="3"/>
          <c:tx>
            <c:strRef>
              <c:f>'Calculations - Dual'!$BQ$3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Dual'!$BW$5:$BW$105</c:f>
              <c:numCache>
                <c:formatCode>0.0</c:formatCode>
                <c:ptCount val="101"/>
                <c:pt idx="0">
                  <c:v>19.303854398499965</c:v>
                </c:pt>
                <c:pt idx="1">
                  <c:v>19.45256396846494</c:v>
                </c:pt>
                <c:pt idx="2">
                  <c:v>19.73216385688395</c:v>
                </c:pt>
                <c:pt idx="3">
                  <c:v>20.137487336000568</c:v>
                </c:pt>
                <c:pt idx="4">
                  <c:v>20.697254329093919</c:v>
                </c:pt>
                <c:pt idx="5">
                  <c:v>21.435536237595638</c:v>
                </c:pt>
                <c:pt idx="6">
                  <c:v>22.373492104809355</c:v>
                </c:pt>
                <c:pt idx="7">
                  <c:v>23.530228882653891</c:v>
                </c:pt>
                <c:pt idx="8">
                  <c:v>28.110276595001469</c:v>
                </c:pt>
                <c:pt idx="9">
                  <c:v>33.648402237914503</c:v>
                </c:pt>
                <c:pt idx="10">
                  <c:v>37.477074389849641</c:v>
                </c:pt>
                <c:pt idx="11">
                  <c:v>41.31333168382821</c:v>
                </c:pt>
                <c:pt idx="12">
                  <c:v>45.156249956503004</c:v>
                </c:pt>
                <c:pt idx="13">
                  <c:v>49.00505946033033</c:v>
                </c:pt>
                <c:pt idx="14">
                  <c:v>52.859109600281286</c:v>
                </c:pt>
                <c:pt idx="15">
                  <c:v>56.717843631421971</c:v>
                </c:pt>
                <c:pt idx="16">
                  <c:v>60.580780029921605</c:v>
                </c:pt>
                <c:pt idx="17">
                  <c:v>64.447498472837992</c:v>
                </c:pt>
                <c:pt idx="18">
                  <c:v>68.317629084572957</c:v>
                </c:pt>
                <c:pt idx="19">
                  <c:v>72.190844051396439</c:v>
                </c:pt>
                <c:pt idx="20">
                  <c:v>76.066850986741315</c:v>
                </c:pt>
                <c:pt idx="21">
                  <c:v>79.945387613553265</c:v>
                </c:pt>
                <c:pt idx="22">
                  <c:v>83.82621745283744</c:v>
                </c:pt>
                <c:pt idx="23">
                  <c:v>87.709126291610275</c:v>
                </c:pt>
                <c:pt idx="24">
                  <c:v>91.593919262141114</c:v>
                </c:pt>
                <c:pt idx="25">
                  <c:v>95.480418406061318</c:v>
                </c:pt>
                <c:pt idx="26">
                  <c:v>99.368460627027574</c:v>
                </c:pt>
                <c:pt idx="27">
                  <c:v>103.25789595768489</c:v>
                </c:pt>
                <c:pt idx="28">
                  <c:v>107.14858608306044</c:v>
                </c:pt>
                <c:pt idx="29">
                  <c:v>111.0404030748337</c:v>
                </c:pt>
                <c:pt idx="30">
                  <c:v>114.93322830029443</c:v>
                </c:pt>
                <c:pt idx="31">
                  <c:v>118.82695147699151</c:v>
                </c:pt>
                <c:pt idx="32">
                  <c:v>122.72146984965785</c:v>
                </c:pt>
                <c:pt idx="33">
                  <c:v>126.61668747036137</c:v>
                </c:pt>
                <c:pt idx="34">
                  <c:v>130.5125145662789</c:v>
                </c:pt>
                <c:pt idx="35">
                  <c:v>134.40886698223107</c:v>
                </c:pt>
                <c:pt idx="36">
                  <c:v>138.30566568731132</c:v>
                </c:pt>
                <c:pt idx="37">
                  <c:v>142.20283633671232</c:v>
                </c:pt>
                <c:pt idx="38">
                  <c:v>146.10030888129279</c:v>
                </c:pt>
                <c:pt idx="39">
                  <c:v>149.99801721859865</c:v>
                </c:pt>
                <c:pt idx="40">
                  <c:v>153.89589888001959</c:v>
                </c:pt>
                <c:pt idx="41">
                  <c:v>157.79389474955653</c:v>
                </c:pt>
                <c:pt idx="42">
                  <c:v>161.69194881033602</c:v>
                </c:pt>
                <c:pt idx="43">
                  <c:v>165.59000791556045</c:v>
                </c:pt>
                <c:pt idx="44">
                  <c:v>169.48802158104249</c:v>
                </c:pt>
                <c:pt idx="45">
                  <c:v>173.38594179686191</c:v>
                </c:pt>
                <c:pt idx="46">
                  <c:v>177.28372285601114</c:v>
                </c:pt>
                <c:pt idx="47">
                  <c:v>181.18132119817233</c:v>
                </c:pt>
                <c:pt idx="48">
                  <c:v>185.07869526700955</c:v>
                </c:pt>
                <c:pt idx="49">
                  <c:v>188.97580537955781</c:v>
                </c:pt>
                <c:pt idx="50">
                  <c:v>192.87261360646698</c:v>
                </c:pt>
                <c:pt idx="51">
                  <c:v>196.76908366200826</c:v>
                </c:pt>
                <c:pt idx="52">
                  <c:v>200.66518080287707</c:v>
                </c:pt>
                <c:pt idx="53">
                  <c:v>204.56087173494038</c:v>
                </c:pt>
                <c:pt idx="54">
                  <c:v>208.45612452717373</c:v>
                </c:pt>
                <c:pt idx="55">
                  <c:v>212.35090853211301</c:v>
                </c:pt>
                <c:pt idx="56">
                  <c:v>216.24519431222578</c:v>
                </c:pt>
                <c:pt idx="57">
                  <c:v>220.13895357166675</c:v>
                </c:pt>
                <c:pt idx="58">
                  <c:v>224.03215909293979</c:v>
                </c:pt>
                <c:pt idx="59">
                  <c:v>227.76180251406419</c:v>
                </c:pt>
                <c:pt idx="60">
                  <c:v>228.52661620410663</c:v>
                </c:pt>
                <c:pt idx="61">
                  <c:v>229.35585349261925</c:v>
                </c:pt>
                <c:pt idx="62">
                  <c:v>230.24626929058905</c:v>
                </c:pt>
                <c:pt idx="63">
                  <c:v>231.19483524011255</c:v>
                </c:pt>
                <c:pt idx="64">
                  <c:v>232.19872204179509</c:v>
                </c:pt>
                <c:pt idx="65">
                  <c:v>233.25528347426652</c:v>
                </c:pt>
                <c:pt idx="66">
                  <c:v>234.36204192055644</c:v>
                </c:pt>
                <c:pt idx="67">
                  <c:v>235.51667523882588</c:v>
                </c:pt>
                <c:pt idx="68">
                  <c:v>236.71700483460157</c:v>
                </c:pt>
                <c:pt idx="69">
                  <c:v>237.96098480870305</c:v>
                </c:pt>
                <c:pt idx="70">
                  <c:v>239.24669206982401</c:v>
                </c:pt>
                <c:pt idx="71">
                  <c:v>240.57231731360767</c:v>
                </c:pt>
                <c:pt idx="72">
                  <c:v>241.93615678126119</c:v>
                </c:pt>
                <c:pt idx="73">
                  <c:v>243.33660472055976</c:v>
                </c:pt>
                <c:pt idx="74">
                  <c:v>244.77214648066305</c:v>
                </c:pt>
                <c:pt idx="75">
                  <c:v>246.24135217969186</c:v>
                </c:pt>
                <c:pt idx="76">
                  <c:v>247.7428708906173</c:v>
                </c:pt>
                <c:pt idx="77">
                  <c:v>249.27542529683379</c:v>
                </c:pt>
                <c:pt idx="78">
                  <c:v>250.83780677391994</c:v>
                </c:pt>
                <c:pt idx="79">
                  <c:v>252.42887085860727</c:v>
                </c:pt>
                <c:pt idx="80">
                  <c:v>254.04753307000249</c:v>
                </c:pt>
                <c:pt idx="81">
                  <c:v>255.69276505164285</c:v>
                </c:pt>
                <c:pt idx="82">
                  <c:v>257.36359100612742</c:v>
                </c:pt>
                <c:pt idx="83">
                  <c:v>398.63589526577766</c:v>
                </c:pt>
                <c:pt idx="84">
                  <c:v>405.72715308118552</c:v>
                </c:pt>
                <c:pt idx="85">
                  <c:v>412.90361444265477</c:v>
                </c:pt>
                <c:pt idx="86">
                  <c:v>420.16550881289959</c:v>
                </c:pt>
                <c:pt idx="87">
                  <c:v>427.51306891001315</c:v>
                </c:pt>
                <c:pt idx="88">
                  <c:v>434.94653072797439</c:v>
                </c:pt>
                <c:pt idx="89">
                  <c:v>442.46613355748627</c:v>
                </c:pt>
                <c:pt idx="90">
                  <c:v>450.07212000714463</c:v>
                </c:pt>
                <c:pt idx="91">
                  <c:v>457.76473602494724</c:v>
                </c:pt>
                <c:pt idx="92">
                  <c:v>465.5442309201369</c:v>
                </c:pt>
                <c:pt idx="93">
                  <c:v>473.41085738539698</c:v>
                </c:pt>
                <c:pt idx="94">
                  <c:v>481.36487151938633</c:v>
                </c:pt>
                <c:pt idx="95">
                  <c:v>489.40653284963116</c:v>
                </c:pt>
                <c:pt idx="96">
                  <c:v>497.53610435577036</c:v>
                </c:pt>
                <c:pt idx="97">
                  <c:v>505.75385249316065</c:v>
                </c:pt>
                <c:pt idx="98">
                  <c:v>505.60157275170627</c:v>
                </c:pt>
                <c:pt idx="99">
                  <c:v>504.76580330354136</c:v>
                </c:pt>
                <c:pt idx="100">
                  <c:v>503.95174831938829</c:v>
                </c:pt>
              </c:numCache>
            </c:numRef>
          </c:val>
          <c:smooth val="0"/>
        </c:ser>
        <c:dLbls>
          <c:showLegendKey val="0"/>
          <c:showVal val="0"/>
          <c:showCatName val="0"/>
          <c:showSerName val="0"/>
          <c:showPercent val="0"/>
          <c:showBubbleSize val="0"/>
        </c:dLbls>
        <c:marker val="1"/>
        <c:smooth val="0"/>
        <c:axId val="154198400"/>
        <c:axId val="154188032"/>
      </c:lineChart>
      <c:catAx>
        <c:axId val="154171648"/>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54186112"/>
        <c:crosses val="autoZero"/>
        <c:auto val="1"/>
        <c:lblAlgn val="ctr"/>
        <c:lblOffset val="100"/>
        <c:tickLblSkip val="20"/>
        <c:tickMarkSkip val="20"/>
        <c:noMultiLvlLbl val="0"/>
      </c:catAx>
      <c:valAx>
        <c:axId val="154186112"/>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54171648"/>
        <c:crossesAt val="0"/>
        <c:crossBetween val="between"/>
        <c:majorUnit val="5"/>
        <c:minorUnit val="2.5"/>
      </c:valAx>
      <c:valAx>
        <c:axId val="154188032"/>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54198400"/>
        <c:crosses val="max"/>
        <c:crossBetween val="between"/>
      </c:valAx>
      <c:catAx>
        <c:axId val="154198400"/>
        <c:scaling>
          <c:orientation val="minMax"/>
        </c:scaling>
        <c:delete val="1"/>
        <c:axPos val="b"/>
        <c:numFmt formatCode="General" sourceLinked="1"/>
        <c:majorTickMark val="out"/>
        <c:minorTickMark val="none"/>
        <c:tickLblPos val="nextTo"/>
        <c:crossAx val="154188032"/>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0.3</c:v>
                </c:pt>
                <c:pt idx="1">
                  <c:v>0.3</c:v>
                </c:pt>
                <c:pt idx="2">
                  <c:v>0.3</c:v>
                </c:pt>
                <c:pt idx="3">
                  <c:v>0.3</c:v>
                </c:pt>
                <c:pt idx="4">
                  <c:v>0.3</c:v>
                </c:pt>
                <c:pt idx="5">
                  <c:v>0.3</c:v>
                </c:pt>
                <c:pt idx="6">
                  <c:v>0.3</c:v>
                </c:pt>
                <c:pt idx="7">
                  <c:v>0.3</c:v>
                </c:pt>
                <c:pt idx="8">
                  <c:v>0.3</c:v>
                </c:pt>
                <c:pt idx="9">
                  <c:v>0.30142518616920988</c:v>
                </c:pt>
                <c:pt idx="10">
                  <c:v>0.31773004414499573</c:v>
                </c:pt>
                <c:pt idx="11">
                  <c:v>0.33323808162876439</c:v>
                </c:pt>
                <c:pt idx="12">
                  <c:v>0.34805582475065278</c:v>
                </c:pt>
                <c:pt idx="13">
                  <c:v>0.36226798814978839</c:v>
                </c:pt>
                <c:pt idx="14">
                  <c:v>0.37594325812991158</c:v>
                </c:pt>
                <c:pt idx="15">
                  <c:v>0.3891382420536067</c:v>
                </c:pt>
                <c:pt idx="16">
                  <c:v>0.40190024822561321</c:v>
                </c:pt>
                <c:pt idx="17">
                  <c:v>0.41426929359904002</c:v>
                </c:pt>
                <c:pt idx="18">
                  <c:v>0.42627958632133173</c:v>
                </c:pt>
                <c:pt idx="19">
                  <c:v>0.43796064184983996</c:v>
                </c:pt>
                <c:pt idx="20">
                  <c:v>0.44933813760325519</c:v>
                </c:pt>
                <c:pt idx="21">
                  <c:v>0.46043457732885351</c:v>
                </c:pt>
                <c:pt idx="22">
                  <c:v>0.47126981453859113</c:v>
                </c:pt>
                <c:pt idx="23">
                  <c:v>0.48186146991690065</c:v>
                </c:pt>
                <c:pt idx="24">
                  <c:v>0.49222526782532633</c:v>
                </c:pt>
                <c:pt idx="25">
                  <c:v>0.50237531028201654</c:v>
                </c:pt>
                <c:pt idx="26">
                  <c:v>0.51232430205504642</c:v>
                </c:pt>
                <c:pt idx="27">
                  <c:v>0.52208373712597922</c:v>
                </c:pt>
                <c:pt idx="28">
                  <c:v>0.53166405433005026</c:v>
                </c:pt>
                <c:pt idx="29">
                  <c:v>0.54107476818079836</c:v>
                </c:pt>
                <c:pt idx="30">
                  <c:v>0.55032457955023495</c:v>
                </c:pt>
                <c:pt idx="31">
                  <c:v>0.55942146987077723</c:v>
                </c:pt>
                <c:pt idx="32">
                  <c:v>0.56837278176177564</c:v>
                </c:pt>
                <c:pt idx="33">
                  <c:v>0.57718528839780481</c:v>
                </c:pt>
                <c:pt idx="34">
                  <c:v>0.58586525348248397</c:v>
                </c:pt>
                <c:pt idx="35">
                  <c:v>0.59441848333756686</c:v>
                </c:pt>
                <c:pt idx="36">
                  <c:v>0.60285037233841976</c:v>
                </c:pt>
                <c:pt idx="37">
                  <c:v>0.61116594270607838</c:v>
                </c:pt>
                <c:pt idx="38">
                  <c:v>0.61936987948966937</c:v>
                </c:pt>
                <c:pt idx="39">
                  <c:v>0.6274665614311935</c:v>
                </c:pt>
                <c:pt idx="40">
                  <c:v>0.63546008828999145</c:v>
                </c:pt>
                <c:pt idx="41">
                  <c:v>0.64335430511092551</c:v>
                </c:pt>
                <c:pt idx="42">
                  <c:v>0.6511528238439882</c:v>
                </c:pt>
                <c:pt idx="43">
                  <c:v>0.69863731656184491</c:v>
                </c:pt>
                <c:pt idx="44">
                  <c:v>0.71488469601677163</c:v>
                </c:pt>
                <c:pt idx="45">
                  <c:v>0.73113207547169812</c:v>
                </c:pt>
                <c:pt idx="46">
                  <c:v>0.74737945492662483</c:v>
                </c:pt>
                <c:pt idx="47">
                  <c:v>0.76362683438155132</c:v>
                </c:pt>
                <c:pt idx="48">
                  <c:v>0.77987421383647804</c:v>
                </c:pt>
                <c:pt idx="49">
                  <c:v>0.79612159329140475</c:v>
                </c:pt>
                <c:pt idx="50">
                  <c:v>0.81236897274633135</c:v>
                </c:pt>
                <c:pt idx="51">
                  <c:v>0.82861635220125784</c:v>
                </c:pt>
                <c:pt idx="52">
                  <c:v>0.84486373165618456</c:v>
                </c:pt>
                <c:pt idx="53">
                  <c:v>0.86111111111111127</c:v>
                </c:pt>
                <c:pt idx="54">
                  <c:v>0.87735849056603787</c:v>
                </c:pt>
                <c:pt idx="55">
                  <c:v>0.89360587002096448</c:v>
                </c:pt>
                <c:pt idx="56">
                  <c:v>0.90985324947589119</c:v>
                </c:pt>
                <c:pt idx="57">
                  <c:v>0.92610062893081757</c:v>
                </c:pt>
                <c:pt idx="58">
                  <c:v>0.94234800838574428</c:v>
                </c:pt>
                <c:pt idx="59">
                  <c:v>0.95859538784067089</c:v>
                </c:pt>
                <c:pt idx="60">
                  <c:v>0.9748427672955976</c:v>
                </c:pt>
                <c:pt idx="61">
                  <c:v>0.99109014675052409</c:v>
                </c:pt>
                <c:pt idx="62">
                  <c:v>1.0073375262054509</c:v>
                </c:pt>
                <c:pt idx="63">
                  <c:v>1.0235849056603774</c:v>
                </c:pt>
                <c:pt idx="64">
                  <c:v>1.0398322851153041</c:v>
                </c:pt>
                <c:pt idx="65">
                  <c:v>1.0560796645702306</c:v>
                </c:pt>
                <c:pt idx="66">
                  <c:v>1.0723270440251573</c:v>
                </c:pt>
                <c:pt idx="67">
                  <c:v>1.088574423480084</c:v>
                </c:pt>
                <c:pt idx="68">
                  <c:v>1.1048218029350108</c:v>
                </c:pt>
                <c:pt idx="69">
                  <c:v>1.121069182389937</c:v>
                </c:pt>
                <c:pt idx="70">
                  <c:v>1.1373165618448637</c:v>
                </c:pt>
                <c:pt idx="71">
                  <c:v>1.1535639412997905</c:v>
                </c:pt>
                <c:pt idx="72">
                  <c:v>1.1698113207547169</c:v>
                </c:pt>
                <c:pt idx="73">
                  <c:v>1.1860587002096437</c:v>
                </c:pt>
                <c:pt idx="74">
                  <c:v>1.2023060796645704</c:v>
                </c:pt>
                <c:pt idx="75">
                  <c:v>1.2185534591194969</c:v>
                </c:pt>
                <c:pt idx="76">
                  <c:v>1.2348008385744236</c:v>
                </c:pt>
                <c:pt idx="77">
                  <c:v>1.2510482180293503</c:v>
                </c:pt>
                <c:pt idx="78">
                  <c:v>1.267295597484277</c:v>
                </c:pt>
                <c:pt idx="79">
                  <c:v>1.2835429769392035</c:v>
                </c:pt>
                <c:pt idx="80">
                  <c:v>1.29979035639413</c:v>
                </c:pt>
                <c:pt idx="81">
                  <c:v>1.3160377358490569</c:v>
                </c:pt>
                <c:pt idx="82">
                  <c:v>1.3322851153039832</c:v>
                </c:pt>
                <c:pt idx="83">
                  <c:v>1.3485324947589097</c:v>
                </c:pt>
                <c:pt idx="84">
                  <c:v>1.3647798742138366</c:v>
                </c:pt>
                <c:pt idx="85">
                  <c:v>1.3810272536687631</c:v>
                </c:pt>
                <c:pt idx="86">
                  <c:v>1.3972746331236898</c:v>
                </c:pt>
                <c:pt idx="87">
                  <c:v>1.4135220125786163</c:v>
                </c:pt>
                <c:pt idx="88">
                  <c:v>1.4297693920335433</c:v>
                </c:pt>
                <c:pt idx="89">
                  <c:v>1.4460167714884697</c:v>
                </c:pt>
                <c:pt idx="90">
                  <c:v>1.4622641509433962</c:v>
                </c:pt>
                <c:pt idx="91">
                  <c:v>1.4785115303983229</c:v>
                </c:pt>
                <c:pt idx="92">
                  <c:v>1.4947589098532497</c:v>
                </c:pt>
                <c:pt idx="93">
                  <c:v>1.5</c:v>
                </c:pt>
                <c:pt idx="94">
                  <c:v>1.5</c:v>
                </c:pt>
                <c:pt idx="95">
                  <c:v>1.5</c:v>
                </c:pt>
                <c:pt idx="96">
                  <c:v>1.5</c:v>
                </c:pt>
                <c:pt idx="97">
                  <c:v>1.5</c:v>
                </c:pt>
                <c:pt idx="98">
                  <c:v>1.5</c:v>
                </c:pt>
                <c:pt idx="99">
                  <c:v>1.5</c:v>
                </c:pt>
                <c:pt idx="100">
                  <c:v>1.5</c:v>
                </c:pt>
              </c:numCache>
            </c:numRef>
          </c:val>
          <c:smooth val="0"/>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0.3</c:v>
                </c:pt>
                <c:pt idx="1">
                  <c:v>0.3</c:v>
                </c:pt>
                <c:pt idx="2">
                  <c:v>0.3</c:v>
                </c:pt>
                <c:pt idx="3">
                  <c:v>0.3</c:v>
                </c:pt>
                <c:pt idx="4">
                  <c:v>0.3</c:v>
                </c:pt>
                <c:pt idx="5">
                  <c:v>0.3</c:v>
                </c:pt>
                <c:pt idx="6">
                  <c:v>0.3</c:v>
                </c:pt>
                <c:pt idx="7">
                  <c:v>0.3</c:v>
                </c:pt>
                <c:pt idx="8">
                  <c:v>0.3</c:v>
                </c:pt>
                <c:pt idx="9">
                  <c:v>0.31773004414499573</c:v>
                </c:pt>
                <c:pt idx="10">
                  <c:v>0.33491687352134436</c:v>
                </c:pt>
                <c:pt idx="11">
                  <c:v>0.35126378035066946</c:v>
                </c:pt>
                <c:pt idx="12">
                  <c:v>0.36688305303348995</c:v>
                </c:pt>
                <c:pt idx="13">
                  <c:v>0.38186398864007304</c:v>
                </c:pt>
                <c:pt idx="14">
                  <c:v>0.39627898889171126</c:v>
                </c:pt>
                <c:pt idx="15">
                  <c:v>0.41018772318777197</c:v>
                </c:pt>
                <c:pt idx="16">
                  <c:v>0.42364005885999434</c:v>
                </c:pt>
                <c:pt idx="17">
                  <c:v>0.43667817748065985</c:v>
                </c:pt>
                <c:pt idx="18">
                  <c:v>0.44933813760325514</c:v>
                </c:pt>
                <c:pt idx="19">
                  <c:v>0.46165105125158451</c:v>
                </c:pt>
                <c:pt idx="20">
                  <c:v>0.47364398480147968</c:v>
                </c:pt>
                <c:pt idx="21">
                  <c:v>0.48534065928536785</c:v>
                </c:pt>
                <c:pt idx="22">
                  <c:v>0.49676200214236066</c:v>
                </c:pt>
                <c:pt idx="23">
                  <c:v>0.50792658720470418</c:v>
                </c:pt>
                <c:pt idx="24">
                  <c:v>0.518850989404809</c:v>
                </c:pt>
                <c:pt idx="25">
                  <c:v>0.52955007357499295</c:v>
                </c:pt>
                <c:pt idx="26">
                  <c:v>0.54003723171667672</c:v>
                </c:pt>
                <c:pt idx="27">
                  <c:v>0.55032457955023495</c:v>
                </c:pt>
                <c:pt idx="28">
                  <c:v>0.56042312057415522</c:v>
                </c:pt>
                <c:pt idx="29">
                  <c:v>0.57034288396630783</c:v>
                </c:pt>
                <c:pt idx="30">
                  <c:v>0.58009304125108796</c:v>
                </c:pt>
                <c:pt idx="31">
                  <c:v>0.58968200559697226</c:v>
                </c:pt>
                <c:pt idx="32">
                  <c:v>0.59911751680434022</c:v>
                </c:pt>
                <c:pt idx="33">
                  <c:v>0.60840671442607386</c:v>
                </c:pt>
                <c:pt idx="34">
                  <c:v>0.61755620098551456</c:v>
                </c:pt>
                <c:pt idx="35">
                  <c:v>0.62657209688318594</c:v>
                </c:pt>
                <c:pt idx="36">
                  <c:v>0.63546008828999145</c:v>
                </c:pt>
                <c:pt idx="37">
                  <c:v>0.6442254690917264</c:v>
                </c:pt>
                <c:pt idx="38">
                  <c:v>0.65287317776378762</c:v>
                </c:pt>
                <c:pt idx="39">
                  <c:v>0.66140782990551106</c:v>
                </c:pt>
                <c:pt idx="40">
                  <c:v>0.66983374704268872</c:v>
                </c:pt>
                <c:pt idx="41">
                  <c:v>0.67815498220847703</c:v>
                </c:pt>
                <c:pt idx="42">
                  <c:v>0.68637534273246659</c:v>
                </c:pt>
                <c:pt idx="43">
                  <c:v>0.6944984106015234</c:v>
                </c:pt>
                <c:pt idx="44">
                  <c:v>0.70252756070133893</c:v>
                </c:pt>
                <c:pt idx="45">
                  <c:v>0.7104659772022196</c:v>
                </c:pt>
                <c:pt idx="46">
                  <c:v>0.71831666831477314</c:v>
                </c:pt>
                <c:pt idx="47">
                  <c:v>0.72608247960942229</c:v>
                </c:pt>
                <c:pt idx="48">
                  <c:v>0.7337661060669799</c:v>
                </c:pt>
                <c:pt idx="49">
                  <c:v>0.74137010300498996</c:v>
                </c:pt>
                <c:pt idx="50">
                  <c:v>0.74889689600542531</c:v>
                </c:pt>
                <c:pt idx="51">
                  <c:v>0.75634878995308241</c:v>
                </c:pt>
                <c:pt idx="52">
                  <c:v>0.76372797728014608</c:v>
                </c:pt>
                <c:pt idx="53">
                  <c:v>0.77103654550050638</c:v>
                </c:pt>
                <c:pt idx="54">
                  <c:v>0.7782764841072134</c:v>
                </c:pt>
                <c:pt idx="55">
                  <c:v>0.78544969089765193</c:v>
                </c:pt>
                <c:pt idx="56">
                  <c:v>0.79255797778342252</c:v>
                </c:pt>
                <c:pt idx="57">
                  <c:v>0.79960307613532811</c:v>
                </c:pt>
                <c:pt idx="58">
                  <c:v>0.80658664170813699</c:v>
                </c:pt>
                <c:pt idx="59">
                  <c:v>0.81351025918481301</c:v>
                </c:pt>
                <c:pt idx="60">
                  <c:v>0.82037544637554394</c:v>
                </c:pt>
                <c:pt idx="61">
                  <c:v>0.82718365810308658</c:v>
                </c:pt>
                <c:pt idx="62">
                  <c:v>0.83393628980260559</c:v>
                </c:pt>
                <c:pt idx="63">
                  <c:v>0.84063468086123272</c:v>
                </c:pt>
                <c:pt idx="64">
                  <c:v>0.84728011771998868</c:v>
                </c:pt>
                <c:pt idx="65">
                  <c:v>0.85387383675841066</c:v>
                </c:pt>
                <c:pt idx="66">
                  <c:v>0.86041702698020817</c:v>
                </c:pt>
                <c:pt idx="67">
                  <c:v>0.86691083251646561</c:v>
                </c:pt>
                <c:pt idx="68">
                  <c:v>0.87335635496131969</c:v>
                </c:pt>
                <c:pt idx="69">
                  <c:v>0.87975465555361165</c:v>
                </c:pt>
                <c:pt idx="70">
                  <c:v>0.88610675721675036</c:v>
                </c:pt>
                <c:pt idx="71">
                  <c:v>0.89241364646789012</c:v>
                </c:pt>
                <c:pt idx="72">
                  <c:v>0.89867627520651028</c:v>
                </c:pt>
                <c:pt idx="73">
                  <c:v>0.90489556239158264</c:v>
                </c:pt>
                <c:pt idx="74">
                  <c:v>0.91107239561568865</c:v>
                </c:pt>
                <c:pt idx="75">
                  <c:v>0.91720763258372473</c:v>
                </c:pt>
                <c:pt idx="76">
                  <c:v>0.92330210250316902</c:v>
                </c:pt>
                <c:pt idx="77">
                  <c:v>0.92935660739228809</c:v>
                </c:pt>
                <c:pt idx="78">
                  <c:v>0.93537192331213093</c:v>
                </c:pt>
                <c:pt idx="79">
                  <c:v>0.9413488015276622</c:v>
                </c:pt>
                <c:pt idx="80">
                  <c:v>0.94728796960295936</c:v>
                </c:pt>
                <c:pt idx="81">
                  <c:v>0.95319013243498718</c:v>
                </c:pt>
                <c:pt idx="82">
                  <c:v>0.95905597323011316</c:v>
                </c:pt>
                <c:pt idx="83">
                  <c:v>0.96427323549965038</c:v>
                </c:pt>
                <c:pt idx="84">
                  <c:v>0.97589098532494756</c:v>
                </c:pt>
                <c:pt idx="85">
                  <c:v>0.98750873515024451</c:v>
                </c:pt>
                <c:pt idx="86">
                  <c:v>0.99912648497554146</c:v>
                </c:pt>
                <c:pt idx="87">
                  <c:v>1.0107442348008384</c:v>
                </c:pt>
                <c:pt idx="88">
                  <c:v>1.0223619846261356</c:v>
                </c:pt>
                <c:pt idx="89">
                  <c:v>1.0339797344514325</c:v>
                </c:pt>
                <c:pt idx="90">
                  <c:v>1.0455974842767295</c:v>
                </c:pt>
                <c:pt idx="91">
                  <c:v>1.0572152341020264</c:v>
                </c:pt>
                <c:pt idx="92">
                  <c:v>1.0688329839273236</c:v>
                </c:pt>
                <c:pt idx="93">
                  <c:v>1.0804507337526206</c:v>
                </c:pt>
                <c:pt idx="94">
                  <c:v>1.0920684835779173</c:v>
                </c:pt>
                <c:pt idx="95">
                  <c:v>1.1036862334032145</c:v>
                </c:pt>
                <c:pt idx="96">
                  <c:v>1.1153039832285114</c:v>
                </c:pt>
                <c:pt idx="97">
                  <c:v>1.1269217330538084</c:v>
                </c:pt>
                <c:pt idx="98">
                  <c:v>1.1385394828791056</c:v>
                </c:pt>
                <c:pt idx="99">
                  <c:v>1.1501572327044025</c:v>
                </c:pt>
                <c:pt idx="100">
                  <c:v>1.1617749825296995</c:v>
                </c:pt>
              </c:numCache>
            </c:numRef>
          </c:val>
          <c:smooth val="0"/>
        </c:ser>
        <c:ser>
          <c:idx val="2"/>
          <c:order val="2"/>
          <c:tx>
            <c:v>VIN-max</c:v>
          </c:tx>
          <c:spPr>
            <a:ln>
              <a:solidFill>
                <a:srgbClr val="FF0000"/>
              </a:solidFill>
              <a:prstDash val="solid"/>
            </a:ln>
          </c:spPr>
          <c:marker>
            <c:symbol val="none"/>
          </c:marker>
          <c:val>
            <c:numRef>
              <c:f>'Calculations - Single'!$AJ$216:$AJ$316</c:f>
              <c:numCache>
                <c:formatCode>0.000</c:formatCode>
                <c:ptCount val="101"/>
                <c:pt idx="0">
                  <c:v>0.3</c:v>
                </c:pt>
                <c:pt idx="1">
                  <c:v>0.3</c:v>
                </c:pt>
                <c:pt idx="2">
                  <c:v>0.3</c:v>
                </c:pt>
                <c:pt idx="3">
                  <c:v>0.3</c:v>
                </c:pt>
                <c:pt idx="4">
                  <c:v>0.3</c:v>
                </c:pt>
                <c:pt idx="5">
                  <c:v>0.3</c:v>
                </c:pt>
                <c:pt idx="6">
                  <c:v>0.3</c:v>
                </c:pt>
                <c:pt idx="7">
                  <c:v>0.3</c:v>
                </c:pt>
                <c:pt idx="8">
                  <c:v>0.3</c:v>
                </c:pt>
                <c:pt idx="9">
                  <c:v>0.30142518616920988</c:v>
                </c:pt>
                <c:pt idx="10">
                  <c:v>0.31773004414499573</c:v>
                </c:pt>
                <c:pt idx="11">
                  <c:v>0.33323808162876439</c:v>
                </c:pt>
                <c:pt idx="12">
                  <c:v>0.34805582475065278</c:v>
                </c:pt>
                <c:pt idx="13">
                  <c:v>0.36226798814978839</c:v>
                </c:pt>
                <c:pt idx="14">
                  <c:v>0.37594325812991158</c:v>
                </c:pt>
                <c:pt idx="15">
                  <c:v>0.3891382420536067</c:v>
                </c:pt>
                <c:pt idx="16">
                  <c:v>0.40190024822561321</c:v>
                </c:pt>
                <c:pt idx="17">
                  <c:v>0.41426929359904002</c:v>
                </c:pt>
                <c:pt idx="18">
                  <c:v>0.42627958632133173</c:v>
                </c:pt>
                <c:pt idx="19">
                  <c:v>0.43796064184983996</c:v>
                </c:pt>
                <c:pt idx="20">
                  <c:v>0.44933813760325519</c:v>
                </c:pt>
                <c:pt idx="21">
                  <c:v>0.46043457732885351</c:v>
                </c:pt>
                <c:pt idx="22">
                  <c:v>0.47126981453859113</c:v>
                </c:pt>
                <c:pt idx="23">
                  <c:v>0.48186146991690065</c:v>
                </c:pt>
                <c:pt idx="24">
                  <c:v>0.49222526782532633</c:v>
                </c:pt>
                <c:pt idx="25">
                  <c:v>0.50237531028201654</c:v>
                </c:pt>
                <c:pt idx="26">
                  <c:v>0.51232430205504642</c:v>
                </c:pt>
                <c:pt idx="27">
                  <c:v>0.52208373712597922</c:v>
                </c:pt>
                <c:pt idx="28">
                  <c:v>0.53166405433005026</c:v>
                </c:pt>
                <c:pt idx="29">
                  <c:v>0.54107476818079836</c:v>
                </c:pt>
                <c:pt idx="30">
                  <c:v>0.55032457955023495</c:v>
                </c:pt>
                <c:pt idx="31">
                  <c:v>0.55942146987077723</c:v>
                </c:pt>
                <c:pt idx="32">
                  <c:v>0.56837278176177564</c:v>
                </c:pt>
                <c:pt idx="33">
                  <c:v>0.57718528839780481</c:v>
                </c:pt>
                <c:pt idx="34">
                  <c:v>0.58586525348248397</c:v>
                </c:pt>
                <c:pt idx="35">
                  <c:v>0.59441848333756686</c:v>
                </c:pt>
                <c:pt idx="36">
                  <c:v>0.60285037233841976</c:v>
                </c:pt>
                <c:pt idx="37">
                  <c:v>0.61116594270607838</c:v>
                </c:pt>
                <c:pt idx="38">
                  <c:v>0.61936987948966937</c:v>
                </c:pt>
                <c:pt idx="39">
                  <c:v>0.6274665614311935</c:v>
                </c:pt>
                <c:pt idx="40">
                  <c:v>0.63546008828999145</c:v>
                </c:pt>
                <c:pt idx="41">
                  <c:v>0.64335430511092551</c:v>
                </c:pt>
                <c:pt idx="42">
                  <c:v>0.6511528238439882</c:v>
                </c:pt>
                <c:pt idx="43">
                  <c:v>0.65885904266029316</c:v>
                </c:pt>
                <c:pt idx="44">
                  <c:v>0.66647616325752879</c:v>
                </c:pt>
                <c:pt idx="45">
                  <c:v>0.67400720640488276</c:v>
                </c:pt>
                <c:pt idx="46">
                  <c:v>0.68145502594151608</c:v>
                </c:pt>
                <c:pt idx="47">
                  <c:v>0.68882232141256161</c:v>
                </c:pt>
                <c:pt idx="48">
                  <c:v>0.69611164950130555</c:v>
                </c:pt>
                <c:pt idx="49">
                  <c:v>0.70332543439482309</c:v>
                </c:pt>
                <c:pt idx="50">
                  <c:v>0.7104659772022196</c:v>
                </c:pt>
                <c:pt idx="51">
                  <c:v>0.71753546452920558</c:v>
                </c:pt>
                <c:pt idx="52">
                  <c:v>0.72453597629957678</c:v>
                </c:pt>
                <c:pt idx="53">
                  <c:v>0.73146949290289542</c:v>
                </c:pt>
                <c:pt idx="54">
                  <c:v>0.73833790173798952</c:v>
                </c:pt>
                <c:pt idx="55">
                  <c:v>0.74514300321354099</c:v>
                </c:pt>
                <c:pt idx="56">
                  <c:v>0.75188651625982317</c:v>
                </c:pt>
                <c:pt idx="57">
                  <c:v>0.75857008339939913</c:v>
                </c:pt>
                <c:pt idx="58">
                  <c:v>0.76519527541916343</c:v>
                </c:pt>
                <c:pt idx="59">
                  <c:v>0.77176359568137676</c:v>
                </c:pt>
                <c:pt idx="60">
                  <c:v>0.7782764841072134</c:v>
                </c:pt>
                <c:pt idx="61">
                  <c:v>0.78473532086272479</c:v>
                </c:pt>
                <c:pt idx="62">
                  <c:v>0.79114142977394497</c:v>
                </c:pt>
                <c:pt idx="63">
                  <c:v>0.79749608149507534</c:v>
                </c:pt>
                <c:pt idx="64">
                  <c:v>0.80380049645122642</c:v>
                </c:pt>
                <c:pt idx="65">
                  <c:v>0.81005584757501514</c:v>
                </c:pt>
                <c:pt idx="66">
                  <c:v>0.81626326285440176</c:v>
                </c:pt>
                <c:pt idx="67">
                  <c:v>0.82242382770743716</c:v>
                </c:pt>
                <c:pt idx="68">
                  <c:v>0.82853858719808005</c:v>
                </c:pt>
                <c:pt idx="69">
                  <c:v>0.83460854810589402</c:v>
                </c:pt>
                <c:pt idx="70">
                  <c:v>0.84063468086123272</c:v>
                </c:pt>
                <c:pt idx="71">
                  <c:v>0.8466179213564432</c:v>
                </c:pt>
                <c:pt idx="72">
                  <c:v>0.85255917264266345</c:v>
                </c:pt>
                <c:pt idx="73">
                  <c:v>0.85845930652092117</c:v>
                </c:pt>
                <c:pt idx="74">
                  <c:v>0.86431916503547401</c:v>
                </c:pt>
                <c:pt idx="75">
                  <c:v>0.870139561876632</c:v>
                </c:pt>
                <c:pt idx="76">
                  <c:v>0.87592128369967992</c:v>
                </c:pt>
                <c:pt idx="77">
                  <c:v>0.88166509136595239</c:v>
                </c:pt>
                <c:pt idx="78">
                  <c:v>0.88737172111160456</c:v>
                </c:pt>
                <c:pt idx="79">
                  <c:v>0.8930418856491612</c:v>
                </c:pt>
                <c:pt idx="80">
                  <c:v>0.89867627520651039</c:v>
                </c:pt>
                <c:pt idx="81">
                  <c:v>0.90427555850762975</c:v>
                </c:pt>
                <c:pt idx="82">
                  <c:v>0.90984038369898912</c:v>
                </c:pt>
                <c:pt idx="83">
                  <c:v>0.9153713792252639</c:v>
                </c:pt>
                <c:pt idx="84">
                  <c:v>0.92086915465770702</c:v>
                </c:pt>
                <c:pt idx="85">
                  <c:v>0.92633430147827189</c:v>
                </c:pt>
                <c:pt idx="86">
                  <c:v>0.9317673938223402</c:v>
                </c:pt>
                <c:pt idx="87">
                  <c:v>0.93716898918269498</c:v>
                </c:pt>
                <c:pt idx="88">
                  <c:v>0.94253962907718225</c:v>
                </c:pt>
                <c:pt idx="89">
                  <c:v>0.94787983968232514</c:v>
                </c:pt>
                <c:pt idx="90">
                  <c:v>0.95319013243498718</c:v>
                </c:pt>
                <c:pt idx="91">
                  <c:v>0.95847100460403423</c:v>
                </c:pt>
                <c:pt idx="92">
                  <c:v>0.96372293983380131</c:v>
                </c:pt>
                <c:pt idx="93">
                  <c:v>0.96894640866104809</c:v>
                </c:pt>
                <c:pt idx="94">
                  <c:v>0.97414186900696387</c:v>
                </c:pt>
                <c:pt idx="95">
                  <c:v>0.97930976664568137</c:v>
                </c:pt>
                <c:pt idx="96">
                  <c:v>0.98445053565065266</c:v>
                </c:pt>
                <c:pt idx="97">
                  <c:v>0.98956459882015546</c:v>
                </c:pt>
                <c:pt idx="98">
                  <c:v>0.99465236808310731</c:v>
                </c:pt>
                <c:pt idx="99">
                  <c:v>0.99971424488629312</c:v>
                </c:pt>
                <c:pt idx="100">
                  <c:v>1.0047506205640331</c:v>
                </c:pt>
              </c:numCache>
            </c:numRef>
          </c:val>
          <c:smooth val="0"/>
        </c:ser>
        <c:dLbls>
          <c:showLegendKey val="0"/>
          <c:showVal val="0"/>
          <c:showCatName val="0"/>
          <c:showSerName val="0"/>
          <c:showPercent val="0"/>
          <c:showBubbleSize val="0"/>
        </c:dLbls>
        <c:marker val="1"/>
        <c:smooth val="0"/>
        <c:axId val="152190976"/>
        <c:axId val="152192896"/>
      </c:lineChart>
      <c:catAx>
        <c:axId val="152190976"/>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2192896"/>
        <c:crosses val="autoZero"/>
        <c:auto val="1"/>
        <c:lblAlgn val="ctr"/>
        <c:lblOffset val="100"/>
        <c:tickLblSkip val="20"/>
        <c:tickMarkSkip val="10"/>
        <c:noMultiLvlLbl val="0"/>
      </c:catAx>
      <c:valAx>
        <c:axId val="152192896"/>
        <c:scaling>
          <c:orientation val="minMax"/>
          <c:max val="1.6"/>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2190976"/>
        <c:crossesAt val="0"/>
        <c:crossBetween val="between"/>
      </c:valAx>
      <c:spPr>
        <a:solidFill>
          <a:srgbClr val="FFFFFF"/>
        </a:solidFill>
        <a:ln w="25400">
          <a:noFill/>
        </a:ln>
      </c:spPr>
    </c:plotArea>
    <c:legend>
      <c:legendPos val="l"/>
      <c:layout>
        <c:manualLayout>
          <c:xMode val="edge"/>
          <c:yMode val="edge"/>
          <c:x val="0.13040293040293041"/>
          <c:y val="0.16052074647603751"/>
          <c:w val="0.13586824723832597"/>
          <c:h val="0.16300730054345325"/>
        </c:manualLayout>
      </c:layout>
      <c:overlay val="1"/>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342.20451257582295</c:v>
                </c:pt>
                <c:pt idx="42">
                  <c:v>334.05678608592234</c:v>
                </c:pt>
                <c:pt idx="43">
                  <c:v>326.28802361880787</c:v>
                </c:pt>
                <c:pt idx="44">
                  <c:v>318.87238671838037</c:v>
                </c:pt>
                <c:pt idx="45">
                  <c:v>311.78633368019422</c:v>
                </c:pt>
                <c:pt idx="46">
                  <c:v>305.0083699045378</c:v>
                </c:pt>
                <c:pt idx="47">
                  <c:v>298.51883011933495</c:v>
                </c:pt>
                <c:pt idx="48">
                  <c:v>292.29968782518205</c:v>
                </c:pt>
                <c:pt idx="49">
                  <c:v>286.33438807364769</c:v>
                </c:pt>
                <c:pt idx="50">
                  <c:v>280.60770031217481</c:v>
                </c:pt>
                <c:pt idx="51">
                  <c:v>275.10558854134786</c:v>
                </c:pt>
                <c:pt idx="52">
                  <c:v>269.81509645401417</c:v>
                </c:pt>
                <c:pt idx="53">
                  <c:v>264.72424557752333</c:v>
                </c:pt>
                <c:pt idx="54">
                  <c:v>259.82194473349517</c:v>
                </c:pt>
                <c:pt idx="55">
                  <c:v>255.09790937470433</c:v>
                </c:pt>
                <c:pt idx="56">
                  <c:v>250.5425895644417</c:v>
                </c:pt>
                <c:pt idx="57">
                  <c:v>246.14710553699544</c:v>
                </c:pt>
                <c:pt idx="58">
                  <c:v>241.90318992428863</c:v>
                </c:pt>
                <c:pt idx="59">
                  <c:v>237.80313585777523</c:v>
                </c:pt>
                <c:pt idx="60">
                  <c:v>233.83975026014565</c:v>
                </c:pt>
                <c:pt idx="61">
                  <c:v>230.00631173129079</c:v>
                </c:pt>
                <c:pt idx="62">
                  <c:v>226.29653250981835</c:v>
                </c:pt>
                <c:pt idx="63">
                  <c:v>222.70452405728159</c:v>
                </c:pt>
                <c:pt idx="64">
                  <c:v>219.22476586888652</c:v>
                </c:pt>
                <c:pt idx="65">
                  <c:v>215.85207716321136</c:v>
                </c:pt>
                <c:pt idx="66">
                  <c:v>212.58159114558694</c:v>
                </c:pt>
                <c:pt idx="67">
                  <c:v>209.40873157624981</c:v>
                </c:pt>
                <c:pt idx="68">
                  <c:v>206.32919140601081</c:v>
                </c:pt>
                <c:pt idx="69">
                  <c:v>203.33891326969189</c:v>
                </c:pt>
                <c:pt idx="70">
                  <c:v>200.43407165155344</c:v>
                </c:pt>
                <c:pt idx="71">
                  <c:v>197.61105655786957</c:v>
                </c:pt>
                <c:pt idx="72">
                  <c:v>194.86645855012142</c:v>
                </c:pt>
                <c:pt idx="73">
                  <c:v>192.19705500833888</c:v>
                </c:pt>
                <c:pt idx="74">
                  <c:v>189.5997975082262</c:v>
                </c:pt>
                <c:pt idx="75">
                  <c:v>187.07180020811654</c:v>
                </c:pt>
                <c:pt idx="76">
                  <c:v>184.61032915274654</c:v>
                </c:pt>
                <c:pt idx="77">
                  <c:v>182.21279241050308</c:v>
                </c:pt>
                <c:pt idx="78">
                  <c:v>179.87673096934279</c:v>
                </c:pt>
                <c:pt idx="79">
                  <c:v>177.59981032416127</c:v>
                </c:pt>
                <c:pt idx="80">
                  <c:v>175.37981269510925</c:v>
                </c:pt>
                <c:pt idx="81">
                  <c:v>173.21462982233007</c:v>
                </c:pt>
                <c:pt idx="82">
                  <c:v>171.10225628791147</c:v>
                </c:pt>
                <c:pt idx="83">
                  <c:v>169.04078332058725</c:v>
                </c:pt>
                <c:pt idx="84">
                  <c:v>167.02839304296117</c:v>
                </c:pt>
                <c:pt idx="85">
                  <c:v>165.06335312480871</c:v>
                </c:pt>
                <c:pt idx="86">
                  <c:v>163.14401180940393</c:v>
                </c:pt>
                <c:pt idx="87">
                  <c:v>161.26879328285909</c:v>
                </c:pt>
                <c:pt idx="88">
                  <c:v>159.43619335919018</c:v>
                </c:pt>
                <c:pt idx="89">
                  <c:v>157.64477545627796</c:v>
                </c:pt>
                <c:pt idx="90">
                  <c:v>155.89316684009711</c:v>
                </c:pt>
                <c:pt idx="91">
                  <c:v>154.18005511657952</c:v>
                </c:pt>
                <c:pt idx="92">
                  <c:v>152.5041849522689</c:v>
                </c:pt>
                <c:pt idx="93">
                  <c:v>151.21080883708197</c:v>
                </c:pt>
                <c:pt idx="94">
                  <c:v>150.0914523607965</c:v>
                </c:pt>
                <c:pt idx="95">
                  <c:v>148.97609721456331</c:v>
                </c:pt>
                <c:pt idx="96">
                  <c:v>147.86480270898781</c:v>
                </c:pt>
                <c:pt idx="97">
                  <c:v>146.75762872401879</c:v>
                </c:pt>
                <c:pt idx="98">
                  <c:v>145.65463569302193</c:v>
                </c:pt>
                <c:pt idx="99">
                  <c:v>144.55588458551486</c:v>
                </c:pt>
                <c:pt idx="100">
                  <c:v>143.46143688852348</c:v>
                </c:pt>
              </c:numCache>
            </c:numRef>
          </c:val>
          <c:smooth val="0"/>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347.34824116539556</c:v>
                </c:pt>
                <c:pt idx="80">
                  <c:v>343.00638815082817</c:v>
                </c:pt>
                <c:pt idx="81">
                  <c:v>338.77174138353394</c:v>
                </c:pt>
                <c:pt idx="82">
                  <c:v>334.64037868373487</c:v>
                </c:pt>
                <c:pt idx="83">
                  <c:v>330.60856689236454</c:v>
                </c:pt>
                <c:pt idx="84">
                  <c:v>326.67275061983628</c:v>
                </c:pt>
                <c:pt idx="85">
                  <c:v>322.82954178901474</c:v>
                </c:pt>
                <c:pt idx="86">
                  <c:v>319.07570990774718</c:v>
                </c:pt>
                <c:pt idx="87">
                  <c:v>315.40817301225582</c:v>
                </c:pt>
                <c:pt idx="88">
                  <c:v>311.8239892280256</c:v>
                </c:pt>
                <c:pt idx="89">
                  <c:v>308.32034889962085</c:v>
                </c:pt>
                <c:pt idx="90">
                  <c:v>304.89456724518067</c:v>
                </c:pt>
                <c:pt idx="91">
                  <c:v>301.54407749523358</c:v>
                </c:pt>
                <c:pt idx="92">
                  <c:v>298.26642447898098</c:v>
                </c:pt>
                <c:pt idx="93">
                  <c:v>295.05925862436834</c:v>
                </c:pt>
                <c:pt idx="94">
                  <c:v>291.92033034113041</c:v>
                </c:pt>
                <c:pt idx="95">
                  <c:v>288.8474847585922</c:v>
                </c:pt>
                <c:pt idx="96">
                  <c:v>285.83865679235686</c:v>
                </c:pt>
                <c:pt idx="97">
                  <c:v>282.89186651614693</c:v>
                </c:pt>
                <c:pt idx="98">
                  <c:v>280.00521481700258</c:v>
                </c:pt>
                <c:pt idx="99">
                  <c:v>277.17687931380055</c:v>
                </c:pt>
                <c:pt idx="100">
                  <c:v>274.40511052066256</c:v>
                </c:pt>
              </c:numCache>
            </c:numRef>
          </c:val>
          <c:smooth val="0"/>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Single'!$CD$110:$CD$210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184.61032915274654</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Single'!$CD$5:$CD$105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Single'!$CD$216:$CD$316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155538560"/>
        <c:axId val="155540864"/>
      </c:lineChart>
      <c:catAx>
        <c:axId val="155538560"/>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5540864"/>
        <c:crosses val="autoZero"/>
        <c:auto val="1"/>
        <c:lblAlgn val="ctr"/>
        <c:lblOffset val="100"/>
        <c:tickLblSkip val="20"/>
        <c:tickMarkSkip val="10"/>
        <c:noMultiLvlLbl val="0"/>
      </c:catAx>
      <c:valAx>
        <c:axId val="155540864"/>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5538560"/>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340.29553760874938</c:v>
                </c:pt>
                <c:pt idx="32">
                  <c:v>329.661302058476</c:v>
                </c:pt>
                <c:pt idx="33">
                  <c:v>319.67156563246152</c:v>
                </c:pt>
                <c:pt idx="34">
                  <c:v>310.26946076091861</c:v>
                </c:pt>
                <c:pt idx="35">
                  <c:v>301.40461902489238</c:v>
                </c:pt>
                <c:pt idx="36">
                  <c:v>293.03226849642317</c:v>
                </c:pt>
                <c:pt idx="37">
                  <c:v>285.11247745597922</c:v>
                </c:pt>
                <c:pt idx="38">
                  <c:v>277.60951752292709</c:v>
                </c:pt>
                <c:pt idx="39">
                  <c:v>270.49132476592899</c:v>
                </c:pt>
                <c:pt idx="40">
                  <c:v>263.72904164678079</c:v>
                </c:pt>
                <c:pt idx="41">
                  <c:v>257.29662599685929</c:v>
                </c:pt>
                <c:pt idx="42">
                  <c:v>251.17051585407697</c:v>
                </c:pt>
                <c:pt idx="43">
                  <c:v>245.32934106677288</c:v>
                </c:pt>
                <c:pt idx="44">
                  <c:v>239.75367422434616</c:v>
                </c:pt>
                <c:pt idx="45">
                  <c:v>234.42581479713851</c:v>
                </c:pt>
                <c:pt idx="46">
                  <c:v>229.32960143198329</c:v>
                </c:pt>
                <c:pt idx="47">
                  <c:v>224.45024821002625</c:v>
                </c:pt>
                <c:pt idx="48">
                  <c:v>219.77420137231732</c:v>
                </c:pt>
                <c:pt idx="49">
                  <c:v>215.28901358920882</c:v>
                </c:pt>
                <c:pt idx="50">
                  <c:v>210.98323331742461</c:v>
                </c:pt>
                <c:pt idx="51">
                  <c:v>206.84630717394575</c:v>
                </c:pt>
                <c:pt idx="52">
                  <c:v>202.86849357444675</c:v>
                </c:pt>
                <c:pt idx="53">
                  <c:v>199.0407861485138</c:v>
                </c:pt>
                <c:pt idx="54">
                  <c:v>195.35484566428207</c:v>
                </c:pt>
                <c:pt idx="55">
                  <c:v>191.80293937947692</c:v>
                </c:pt>
                <c:pt idx="56">
                  <c:v>188.3778868905577</c:v>
                </c:pt>
                <c:pt idx="57">
                  <c:v>185.07301168195147</c:v>
                </c:pt>
                <c:pt idx="58">
                  <c:v>181.88209768743505</c:v>
                </c:pt>
                <c:pt idx="59">
                  <c:v>178.79935026900392</c:v>
                </c:pt>
                <c:pt idx="60">
                  <c:v>175.81936109785386</c:v>
                </c:pt>
                <c:pt idx="61">
                  <c:v>172.93707648969232</c:v>
                </c:pt>
                <c:pt idx="62">
                  <c:v>170.14776880437469</c:v>
                </c:pt>
                <c:pt idx="63">
                  <c:v>167.44701056938464</c:v>
                </c:pt>
                <c:pt idx="64">
                  <c:v>164.830651029238</c:v>
                </c:pt>
                <c:pt idx="65">
                  <c:v>162.29479485955744</c:v>
                </c:pt>
                <c:pt idx="66">
                  <c:v>159.83578281623076</c:v>
                </c:pt>
                <c:pt idx="67">
                  <c:v>157.45017411748108</c:v>
                </c:pt>
                <c:pt idx="68">
                  <c:v>155.1347303804593</c:v>
                </c:pt>
                <c:pt idx="69">
                  <c:v>152.88640095465553</c:v>
                </c:pt>
                <c:pt idx="70">
                  <c:v>151.45408553743735</c:v>
                </c:pt>
                <c:pt idx="71">
                  <c:v>150.57843810799054</c:v>
                </c:pt>
                <c:pt idx="72">
                  <c:v>149.71425836149973</c:v>
                </c:pt>
                <c:pt idx="73">
                  <c:v>148.86132248832078</c:v>
                </c:pt>
                <c:pt idx="74">
                  <c:v>148.0194124651569</c:v>
                </c:pt>
                <c:pt idx="75">
                  <c:v>147.18831586925987</c:v>
                </c:pt>
                <c:pt idx="76">
                  <c:v>146.36782569974534</c:v>
                </c:pt>
                <c:pt idx="77">
                  <c:v>145.55774020570536</c:v>
                </c:pt>
                <c:pt idx="78">
                  <c:v>144.75786272081899</c:v>
                </c:pt>
                <c:pt idx="79">
                  <c:v>143.96800150417624</c:v>
                </c:pt>
                <c:pt idx="80">
                  <c:v>143.18796958704417</c:v>
                </c:pt>
                <c:pt idx="81">
                  <c:v>142.41758462531874</c:v>
                </c:pt>
                <c:pt idx="82">
                  <c:v>141.65666875741698</c:v>
                </c:pt>
                <c:pt idx="83">
                  <c:v>140.90504846737741</c:v>
                </c:pt>
                <c:pt idx="84">
                  <c:v>140.16255445294743</c:v>
                </c:pt>
                <c:pt idx="85">
                  <c:v>139.42902149844628</c:v>
                </c:pt>
                <c:pt idx="86">
                  <c:v>138.70428835220423</c:v>
                </c:pt>
                <c:pt idx="87">
                  <c:v>137.98819760838578</c:v>
                </c:pt>
                <c:pt idx="88">
                  <c:v>137.28059559301607</c:v>
                </c:pt>
                <c:pt idx="89">
                  <c:v>136.58133225403631</c:v>
                </c:pt>
                <c:pt idx="90">
                  <c:v>135.89026105522333</c:v>
                </c:pt>
                <c:pt idx="91">
                  <c:v>135.2072388738159</c:v>
                </c:pt>
                <c:pt idx="92">
                  <c:v>134.53212590169724</c:v>
                </c:pt>
                <c:pt idx="93">
                  <c:v>133.86478554999098</c:v>
                </c:pt>
                <c:pt idx="94">
                  <c:v>133.2050843569329</c:v>
                </c:pt>
                <c:pt idx="95">
                  <c:v>132.55289189888884</c:v>
                </c:pt>
                <c:pt idx="96">
                  <c:v>131.90808070439388</c:v>
                </c:pt>
                <c:pt idx="97">
                  <c:v>131.27052617109331</c:v>
                </c:pt>
                <c:pt idx="98">
                  <c:v>130.64010648547253</c:v>
                </c:pt>
                <c:pt idx="99">
                  <c:v>130.01670254526675</c:v>
                </c:pt>
                <c:pt idx="100">
                  <c:v>129.40019788444673</c:v>
                </c:pt>
              </c:numCache>
            </c:numRef>
          </c:val>
          <c:smooth val="0"/>
        </c:ser>
        <c:ser>
          <c:idx val="0"/>
          <c:order val="1"/>
          <c:tx>
            <c:v>VIN-nom</c:v>
          </c:tx>
          <c:spPr>
            <a:ln w="28575">
              <a:solidFill>
                <a:srgbClr val="FF0000"/>
              </a:solidFill>
              <a:prstDash val="lgDash"/>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349.69429147529314</c:v>
                </c:pt>
                <c:pt idx="60">
                  <c:v>343.86605328403829</c:v>
                </c:pt>
                <c:pt idx="61">
                  <c:v>338.22890486954583</c:v>
                </c:pt>
                <c:pt idx="62">
                  <c:v>332.77359995229506</c:v>
                </c:pt>
                <c:pt idx="63">
                  <c:v>327.49147931813172</c:v>
                </c:pt>
                <c:pt idx="64">
                  <c:v>322.37442495378588</c:v>
                </c:pt>
                <c:pt idx="65">
                  <c:v>317.41481841603536</c:v>
                </c:pt>
                <c:pt idx="66">
                  <c:v>312.6055029854893</c:v>
                </c:pt>
                <c:pt idx="67">
                  <c:v>307.93974920958658</c:v>
                </c:pt>
                <c:pt idx="68">
                  <c:v>303.41122348591614</c:v>
                </c:pt>
                <c:pt idx="69">
                  <c:v>299.01395937742461</c:v>
                </c:pt>
                <c:pt idx="70">
                  <c:v>294.74233138631854</c:v>
                </c:pt>
                <c:pt idx="71">
                  <c:v>290.59103094425768</c:v>
                </c:pt>
                <c:pt idx="72">
                  <c:v>286.55504440336529</c:v>
                </c:pt>
                <c:pt idx="73">
                  <c:v>282.62963283619587</c:v>
                </c:pt>
                <c:pt idx="74">
                  <c:v>278.81031347354451</c:v>
                </c:pt>
                <c:pt idx="75">
                  <c:v>275.0928426272306</c:v>
                </c:pt>
                <c:pt idx="76">
                  <c:v>271.4731999610828</c:v>
                </c:pt>
                <c:pt idx="77">
                  <c:v>267.94757398756224</c:v>
                </c:pt>
                <c:pt idx="78">
                  <c:v>264.51234868002945</c:v>
                </c:pt>
                <c:pt idx="79">
                  <c:v>261.16409110180126</c:v>
                </c:pt>
                <c:pt idx="80">
                  <c:v>257.89953996302864</c:v>
                </c:pt>
                <c:pt idx="81">
                  <c:v>254.7155950252135</c:v>
                </c:pt>
                <c:pt idx="82">
                  <c:v>251.60930728100362</c:v>
                </c:pt>
                <c:pt idx="83">
                  <c:v>248.57786984388321</c:v>
                </c:pt>
                <c:pt idx="84">
                  <c:v>245.61860948859876</c:v>
                </c:pt>
                <c:pt idx="85">
                  <c:v>242.72897878873292</c:v>
                </c:pt>
                <c:pt idx="86">
                  <c:v>239.90654880281741</c:v>
                </c:pt>
                <c:pt idx="87">
                  <c:v>237.14900226485403</c:v>
                </c:pt>
                <c:pt idx="88">
                  <c:v>234.45412723911704</c:v>
                </c:pt>
                <c:pt idx="89">
                  <c:v>231.81981120272246</c:v>
                </c:pt>
                <c:pt idx="90">
                  <c:v>229.2440355226922</c:v>
                </c:pt>
                <c:pt idx="91">
                  <c:v>226.72487029716811</c:v>
                </c:pt>
                <c:pt idx="92">
                  <c:v>224.26046953306843</c:v>
                </c:pt>
                <c:pt idx="93">
                  <c:v>221.84906663486339</c:v>
                </c:pt>
                <c:pt idx="94">
                  <c:v>219.48897018130106</c:v>
                </c:pt>
                <c:pt idx="95">
                  <c:v>217.17855996886627</c:v>
                </c:pt>
                <c:pt idx="96">
                  <c:v>214.91628330252394</c:v>
                </c:pt>
                <c:pt idx="97">
                  <c:v>212.70065151590001</c:v>
                </c:pt>
                <c:pt idx="98">
                  <c:v>211.39176243910754</c:v>
                </c:pt>
                <c:pt idx="99">
                  <c:v>210.17183418471973</c:v>
                </c:pt>
                <c:pt idx="100">
                  <c:v>208.96730126135304</c:v>
                </c:pt>
              </c:numCache>
            </c:numRef>
          </c:val>
          <c:smooth val="0"/>
        </c:ser>
        <c:ser>
          <c:idx val="2"/>
          <c:order val="2"/>
          <c:tx>
            <c:v>VIN-max</c:v>
          </c:tx>
          <c:spPr>
            <a:ln>
              <a:solidFill>
                <a:srgbClr val="0000FF"/>
              </a:solidFill>
              <a:prstDash val="solid"/>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349.74925130114821</c:v>
                </c:pt>
                <c:pt idx="93">
                  <c:v>345.98850666350137</c:v>
                </c:pt>
                <c:pt idx="94">
                  <c:v>342.30777786920879</c:v>
                </c:pt>
                <c:pt idx="95">
                  <c:v>338.70453810216458</c:v>
                </c:pt>
                <c:pt idx="96">
                  <c:v>335.17636583026706</c:v>
                </c:pt>
                <c:pt idx="97">
                  <c:v>331.7209393784085</c:v>
                </c:pt>
                <c:pt idx="98">
                  <c:v>328.33603183373089</c:v>
                </c:pt>
                <c:pt idx="99">
                  <c:v>325.01950625965281</c:v>
                </c:pt>
                <c:pt idx="100">
                  <c:v>321.76931119705631</c:v>
                </c:pt>
              </c:numCache>
            </c:numRef>
          </c:val>
          <c:smooth val="0"/>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Dual'!$CD$110:$CD$210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185.07301168195147</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dPt>
          <c:dPt>
            <c:idx val="92"/>
            <c:bubble3D val="0"/>
          </c:dPt>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Dual'!$CD$5:$CD$105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Dual'!$CD$216:$CD$316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155279360"/>
        <c:axId val="155281664"/>
      </c:lineChart>
      <c:catAx>
        <c:axId val="155279360"/>
        <c:scaling>
          <c:orientation val="minMax"/>
        </c:scaling>
        <c:delete val="0"/>
        <c:axPos val="b"/>
        <c:majorGridlines>
          <c:spPr>
            <a:ln w="15875">
              <a:solidFill>
                <a:srgbClr val="969696"/>
              </a:solidFill>
              <a:prstDash val="sysDash"/>
            </a:ln>
          </c:spPr>
        </c:majorGridlines>
        <c:title>
          <c:tx>
            <c:rich>
              <a:bodyPr/>
              <a:lstStyle/>
              <a:p>
                <a:pPr>
                  <a:defRPr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5281664"/>
        <c:crosses val="autoZero"/>
        <c:auto val="1"/>
        <c:lblAlgn val="ctr"/>
        <c:lblOffset val="100"/>
        <c:tickLblSkip val="20"/>
        <c:tickMarkSkip val="10"/>
        <c:noMultiLvlLbl val="0"/>
      </c:catAx>
      <c:valAx>
        <c:axId val="155281664"/>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5279360"/>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 = 12V</c:v>
          </c:tx>
          <c:spPr>
            <a:ln>
              <a:solidFill>
                <a:srgbClr val="00B050"/>
              </a:solidFill>
              <a:prstDash val="sysDash"/>
            </a:ln>
          </c:spPr>
          <c:marker>
            <c:symbol val="none"/>
          </c:marker>
          <c:val>
            <c:numRef>
              <c:f>'Calculations - Single'!$AK$110:$AK$210</c:f>
              <c:numCache>
                <c:formatCode>0.000</c:formatCode>
                <c:ptCount val="101"/>
                <c:pt idx="0">
                  <c:v>1.0057142857142858</c:v>
                </c:pt>
                <c:pt idx="1">
                  <c:v>1.0224338624338625</c:v>
                </c:pt>
                <c:pt idx="2">
                  <c:v>1.0448677248677249</c:v>
                </c:pt>
                <c:pt idx="3">
                  <c:v>1.0673015873015872</c:v>
                </c:pt>
                <c:pt idx="4">
                  <c:v>1.0897354497354497</c:v>
                </c:pt>
                <c:pt idx="5">
                  <c:v>1.1121693121693121</c:v>
                </c:pt>
                <c:pt idx="6">
                  <c:v>1.1346031746031746</c:v>
                </c:pt>
                <c:pt idx="7">
                  <c:v>1.1570370370370371</c:v>
                </c:pt>
                <c:pt idx="8">
                  <c:v>1.1794708994708993</c:v>
                </c:pt>
                <c:pt idx="9">
                  <c:v>1.201055693458674</c:v>
                </c:pt>
                <c:pt idx="10">
                  <c:v>1.2131333660333301</c:v>
                </c:pt>
                <c:pt idx="11">
                  <c:v>1.2246208012064921</c:v>
                </c:pt>
                <c:pt idx="12">
                  <c:v>1.2355969072227058</c:v>
                </c:pt>
                <c:pt idx="13">
                  <c:v>1.24612443566651</c:v>
                </c:pt>
                <c:pt idx="14">
                  <c:v>1.2562542652814159</c:v>
                </c:pt>
                <c:pt idx="15">
                  <c:v>1.266028327447116</c:v>
                </c:pt>
                <c:pt idx="16">
                  <c:v>1.275481665352306</c:v>
                </c:pt>
                <c:pt idx="17">
                  <c:v>1.284643921184474</c:v>
                </c:pt>
                <c:pt idx="18">
                  <c:v>1.2935404343120975</c:v>
                </c:pt>
                <c:pt idx="19">
                  <c:v>1.3021930680369185</c:v>
                </c:pt>
                <c:pt idx="20">
                  <c:v>1.310620842669078</c:v>
                </c:pt>
                <c:pt idx="21">
                  <c:v>1.3188404276510026</c:v>
                </c:pt>
                <c:pt idx="22">
                  <c:v>1.3268665292878452</c:v>
                </c:pt>
                <c:pt idx="23">
                  <c:v>1.3347121999384448</c:v>
                </c:pt>
                <c:pt idx="24">
                  <c:v>1.3423890872780195</c:v>
                </c:pt>
                <c:pt idx="25">
                  <c:v>1.3499076372459382</c:v>
                </c:pt>
                <c:pt idx="26">
                  <c:v>1.3572772607815158</c:v>
                </c:pt>
                <c:pt idx="27">
                  <c:v>1.3645064719451698</c:v>
                </c:pt>
                <c:pt idx="28">
                  <c:v>1.3716030032074447</c:v>
                </c:pt>
                <c:pt idx="29">
                  <c:v>1.378573902356147</c:v>
                </c:pt>
                <c:pt idx="30">
                  <c:v>1.3854256144816555</c:v>
                </c:pt>
                <c:pt idx="31">
                  <c:v>1.3921640517561311</c:v>
                </c:pt>
                <c:pt idx="32">
                  <c:v>1.3987946531568709</c:v>
                </c:pt>
                <c:pt idx="33">
                  <c:v>1.4053224358502256</c:v>
                </c:pt>
                <c:pt idx="34">
                  <c:v>1.4117520396166547</c:v>
                </c:pt>
                <c:pt idx="35">
                  <c:v>1.4180877654352346</c:v>
                </c:pt>
                <c:pt idx="36">
                  <c:v>1.4243336091395702</c:v>
                </c:pt>
                <c:pt idx="37">
                  <c:v>1.4304932908933914</c:v>
                </c:pt>
                <c:pt idx="38">
                  <c:v>1.4365702811034589</c:v>
                </c:pt>
                <c:pt idx="39">
                  <c:v>1.4425678232823655</c:v>
                </c:pt>
                <c:pt idx="40">
                  <c:v>1.4484889542888826</c:v>
                </c:pt>
                <c:pt idx="41">
                  <c:v>1.4543365223043891</c:v>
                </c:pt>
                <c:pt idx="42">
                  <c:v>1.4601132028473987</c:v>
                </c:pt>
                <c:pt idx="43">
                  <c:v>1.4952869011569221</c:v>
                </c:pt>
                <c:pt idx="44">
                  <c:v>1.5073219970494605</c:v>
                </c:pt>
                <c:pt idx="45">
                  <c:v>1.5193570929419986</c:v>
                </c:pt>
                <c:pt idx="46">
                  <c:v>1.5313921888345368</c:v>
                </c:pt>
                <c:pt idx="47">
                  <c:v>1.5434272847270751</c:v>
                </c:pt>
                <c:pt idx="48">
                  <c:v>1.5554623806196133</c:v>
                </c:pt>
                <c:pt idx="49">
                  <c:v>1.5674974765121517</c:v>
                </c:pt>
                <c:pt idx="50">
                  <c:v>1.5795325724046898</c:v>
                </c:pt>
                <c:pt idx="51">
                  <c:v>1.591567668297228</c:v>
                </c:pt>
                <c:pt idx="52">
                  <c:v>1.6036027641897663</c:v>
                </c:pt>
                <c:pt idx="53">
                  <c:v>1.6156378600823047</c:v>
                </c:pt>
                <c:pt idx="54">
                  <c:v>1.6276729559748428</c:v>
                </c:pt>
                <c:pt idx="55">
                  <c:v>1.6397080518673812</c:v>
                </c:pt>
                <c:pt idx="56">
                  <c:v>1.6517431477599194</c:v>
                </c:pt>
                <c:pt idx="57">
                  <c:v>1.6637782436524575</c:v>
                </c:pt>
                <c:pt idx="58">
                  <c:v>1.6758133395449957</c:v>
                </c:pt>
                <c:pt idx="59">
                  <c:v>1.687848435437534</c:v>
                </c:pt>
                <c:pt idx="60">
                  <c:v>1.6998835313300722</c:v>
                </c:pt>
                <c:pt idx="61">
                  <c:v>1.7119186272226106</c:v>
                </c:pt>
                <c:pt idx="62">
                  <c:v>1.7239537231151487</c:v>
                </c:pt>
                <c:pt idx="63">
                  <c:v>1.7359888190076869</c:v>
                </c:pt>
                <c:pt idx="64">
                  <c:v>1.7480239149002252</c:v>
                </c:pt>
                <c:pt idx="65">
                  <c:v>1.7600590107927632</c:v>
                </c:pt>
                <c:pt idx="66">
                  <c:v>1.7720941066853015</c:v>
                </c:pt>
                <c:pt idx="67">
                  <c:v>1.7841292025778399</c:v>
                </c:pt>
                <c:pt idx="68">
                  <c:v>1.7961642984703783</c:v>
                </c:pt>
                <c:pt idx="69">
                  <c:v>1.8081993943629162</c:v>
                </c:pt>
                <c:pt idx="70">
                  <c:v>1.8202344902554546</c:v>
                </c:pt>
                <c:pt idx="71">
                  <c:v>1.832269586147993</c:v>
                </c:pt>
                <c:pt idx="72">
                  <c:v>1.8443046820405309</c:v>
                </c:pt>
                <c:pt idx="73">
                  <c:v>1.8563397779330693</c:v>
                </c:pt>
                <c:pt idx="74">
                  <c:v>1.8683748738256076</c:v>
                </c:pt>
                <c:pt idx="75">
                  <c:v>1.8804099697181458</c:v>
                </c:pt>
                <c:pt idx="76">
                  <c:v>1.8924450656106839</c:v>
                </c:pt>
                <c:pt idx="77">
                  <c:v>1.9044801615032223</c:v>
                </c:pt>
                <c:pt idx="78">
                  <c:v>1.9165152573957607</c:v>
                </c:pt>
                <c:pt idx="79">
                  <c:v>1.9285503532882988</c:v>
                </c:pt>
                <c:pt idx="80">
                  <c:v>1.940585449180837</c:v>
                </c:pt>
                <c:pt idx="81">
                  <c:v>1.9526205450733753</c:v>
                </c:pt>
                <c:pt idx="82">
                  <c:v>1.9646556409659133</c:v>
                </c:pt>
                <c:pt idx="83">
                  <c:v>1.9766907368584516</c:v>
                </c:pt>
                <c:pt idx="84">
                  <c:v>1.98872583275099</c:v>
                </c:pt>
                <c:pt idx="85">
                  <c:v>2.0007609286435279</c:v>
                </c:pt>
                <c:pt idx="86">
                  <c:v>2.0127960245360663</c:v>
                </c:pt>
                <c:pt idx="87">
                  <c:v>2.0248311204286047</c:v>
                </c:pt>
                <c:pt idx="88">
                  <c:v>2.0368662163211431</c:v>
                </c:pt>
                <c:pt idx="89">
                  <c:v>2.0489013122136814</c:v>
                </c:pt>
                <c:pt idx="90">
                  <c:v>2.0609364081062194</c:v>
                </c:pt>
                <c:pt idx="91">
                  <c:v>2.0729715039987577</c:v>
                </c:pt>
                <c:pt idx="92">
                  <c:v>2.0850065998912961</c:v>
                </c:pt>
                <c:pt idx="93">
                  <c:v>2.0888888888888886</c:v>
                </c:pt>
                <c:pt idx="94">
                  <c:v>2.0888888888888886</c:v>
                </c:pt>
                <c:pt idx="95">
                  <c:v>2.0888888888888886</c:v>
                </c:pt>
                <c:pt idx="96">
                  <c:v>2.0888888888888886</c:v>
                </c:pt>
                <c:pt idx="97">
                  <c:v>2.0888888888888886</c:v>
                </c:pt>
                <c:pt idx="98">
                  <c:v>2.0888888888888886</c:v>
                </c:pt>
                <c:pt idx="99">
                  <c:v>2.0888888888888886</c:v>
                </c:pt>
                <c:pt idx="100">
                  <c:v>2.0888888888888886</c:v>
                </c:pt>
              </c:numCache>
            </c:numRef>
          </c:val>
          <c:smooth val="0"/>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Single'!$AK$5:$AK$105</c:f>
              <c:numCache>
                <c:formatCode>0.000</c:formatCode>
                <c:ptCount val="101"/>
                <c:pt idx="0">
                  <c:v>1.0057142857142858</c:v>
                </c:pt>
                <c:pt idx="1">
                  <c:v>1.0224338624338625</c:v>
                </c:pt>
                <c:pt idx="2">
                  <c:v>1.0448677248677249</c:v>
                </c:pt>
                <c:pt idx="3">
                  <c:v>1.0673015873015872</c:v>
                </c:pt>
                <c:pt idx="4">
                  <c:v>1.0897354497354497</c:v>
                </c:pt>
                <c:pt idx="5">
                  <c:v>1.1121693121693121</c:v>
                </c:pt>
                <c:pt idx="6">
                  <c:v>1.1346031746031746</c:v>
                </c:pt>
                <c:pt idx="7">
                  <c:v>1.1570370370370371</c:v>
                </c:pt>
                <c:pt idx="8">
                  <c:v>1.1794708994708993</c:v>
                </c:pt>
                <c:pt idx="9">
                  <c:v>1.2131333660333301</c:v>
                </c:pt>
                <c:pt idx="10">
                  <c:v>1.2258643507565514</c:v>
                </c:pt>
                <c:pt idx="11">
                  <c:v>1.2379731706301256</c:v>
                </c:pt>
                <c:pt idx="12">
                  <c:v>1.2495430022470295</c:v>
                </c:pt>
                <c:pt idx="13">
                  <c:v>1.2606399915852393</c:v>
                </c:pt>
                <c:pt idx="14">
                  <c:v>1.2713177695494158</c:v>
                </c:pt>
                <c:pt idx="15">
                  <c:v>1.281620535694646</c:v>
                </c:pt>
                <c:pt idx="16">
                  <c:v>1.291585228785181</c:v>
                </c:pt>
                <c:pt idx="17">
                  <c:v>1.3012430944301183</c:v>
                </c:pt>
                <c:pt idx="18">
                  <c:v>1.3106208426690777</c:v>
                </c:pt>
                <c:pt idx="19">
                  <c:v>1.3197415194456181</c:v>
                </c:pt>
                <c:pt idx="20">
                  <c:v>1.3286251739270218</c:v>
                </c:pt>
                <c:pt idx="21">
                  <c:v>1.3372893772484207</c:v>
                </c:pt>
                <c:pt idx="22">
                  <c:v>1.3457496312165633</c:v>
                </c:pt>
                <c:pt idx="23">
                  <c:v>1.3540196942257068</c:v>
                </c:pt>
                <c:pt idx="24">
                  <c:v>1.3621118440035622</c:v>
                </c:pt>
                <c:pt idx="25">
                  <c:v>1.3700370915370317</c:v>
                </c:pt>
                <c:pt idx="26">
                  <c:v>1.377805356827168</c:v>
                </c:pt>
                <c:pt idx="27">
                  <c:v>1.3854256144816555</c:v>
                </c:pt>
                <c:pt idx="28">
                  <c:v>1.3929060152401149</c:v>
                </c:pt>
                <c:pt idx="29">
                  <c:v>1.400253988123191</c:v>
                </c:pt>
                <c:pt idx="30">
                  <c:v>1.4074763268526578</c:v>
                </c:pt>
                <c:pt idx="31">
                  <c:v>1.4145792634051646</c:v>
                </c:pt>
                <c:pt idx="32">
                  <c:v>1.4215685309661779</c:v>
                </c:pt>
                <c:pt idx="33">
                  <c:v>1.428449418093388</c:v>
                </c:pt>
                <c:pt idx="34">
                  <c:v>1.4352268155448256</c:v>
                </c:pt>
                <c:pt idx="35">
                  <c:v>1.4419052569505082</c:v>
                </c:pt>
                <c:pt idx="36">
                  <c:v>1.4484889542888826</c:v>
                </c:pt>
                <c:pt idx="37">
                  <c:v>1.4549818289568344</c:v>
                </c:pt>
                <c:pt idx="38">
                  <c:v>1.4613875390842872</c:v>
                </c:pt>
                <c:pt idx="39">
                  <c:v>1.4677095036337118</c:v>
                </c:pt>
                <c:pt idx="40">
                  <c:v>1.473950923735325</c:v>
                </c:pt>
                <c:pt idx="41">
                  <c:v>1.4801148016359089</c:v>
                </c:pt>
                <c:pt idx="42">
                  <c:v>1.4862039575796049</c:v>
                </c:pt>
                <c:pt idx="43">
                  <c:v>1.4922210448900173</c:v>
                </c:pt>
                <c:pt idx="44">
                  <c:v>1.4981685634824733</c:v>
                </c:pt>
                <c:pt idx="45">
                  <c:v>1.5040488720016441</c:v>
                </c:pt>
                <c:pt idx="46">
                  <c:v>1.5098641987516839</c:v>
                </c:pt>
                <c:pt idx="47">
                  <c:v>1.5156166515625351</c:v>
                </c:pt>
                <c:pt idx="48">
                  <c:v>1.5213082267162814</c:v>
                </c:pt>
                <c:pt idx="49">
                  <c:v>1.5269408170407333</c:v>
                </c:pt>
                <c:pt idx="50">
                  <c:v>1.532516219263278</c:v>
                </c:pt>
                <c:pt idx="51">
                  <c:v>1.5380361407059868</c:v>
                </c:pt>
                <c:pt idx="52">
                  <c:v>1.5435022053927008</c:v>
                </c:pt>
                <c:pt idx="53">
                  <c:v>1.5489159596300046</c:v>
                </c:pt>
                <c:pt idx="54">
                  <c:v>1.5542788771164544</c:v>
                </c:pt>
                <c:pt idx="55">
                  <c:v>1.5595923636278903</c:v>
                </c:pt>
                <c:pt idx="56">
                  <c:v>1.5648577613210537</c:v>
                </c:pt>
                <c:pt idx="57">
                  <c:v>1.5700763526928356</c:v>
                </c:pt>
                <c:pt idx="58">
                  <c:v>1.5752493642282497</c:v>
                </c:pt>
                <c:pt idx="59">
                  <c:v>1.5803779697665281</c:v>
                </c:pt>
                <c:pt idx="60">
                  <c:v>1.5854632936115141</c:v>
                </c:pt>
                <c:pt idx="61">
                  <c:v>1.5905064134096938</c:v>
                </c:pt>
                <c:pt idx="62">
                  <c:v>1.5955083628167448</c:v>
                </c:pt>
                <c:pt idx="63">
                  <c:v>1.6004701339712835</c:v>
                </c:pt>
                <c:pt idx="64">
                  <c:v>1.6053926797925842</c:v>
                </c:pt>
                <c:pt idx="65">
                  <c:v>1.6102769161173411</c:v>
                </c:pt>
                <c:pt idx="66">
                  <c:v>1.615123723689043</c:v>
                </c:pt>
                <c:pt idx="67">
                  <c:v>1.6199339500121968</c:v>
                </c:pt>
                <c:pt idx="68">
                  <c:v>1.624708411082459</c:v>
                </c:pt>
                <c:pt idx="69">
                  <c:v>1.6294478930026752</c:v>
                </c:pt>
                <c:pt idx="70">
                  <c:v>1.6341531534938891</c:v>
                </c:pt>
                <c:pt idx="71">
                  <c:v>1.6388249233095482</c:v>
                </c:pt>
                <c:pt idx="72">
                  <c:v>1.6434639075603779</c:v>
                </c:pt>
                <c:pt idx="73">
                  <c:v>1.6480707869567279</c:v>
                </c:pt>
                <c:pt idx="74">
                  <c:v>1.6526462189745841</c:v>
                </c:pt>
                <c:pt idx="75">
                  <c:v>1.6571908389509074</c:v>
                </c:pt>
                <c:pt idx="76">
                  <c:v>1.6617052611134586</c:v>
                </c:pt>
                <c:pt idx="77">
                  <c:v>1.666190079549843</c:v>
                </c:pt>
                <c:pt idx="78">
                  <c:v>1.6706458691200969</c:v>
                </c:pt>
                <c:pt idx="79">
                  <c:v>1.6750731863167869</c:v>
                </c:pt>
                <c:pt idx="80">
                  <c:v>1.6794725700762663</c:v>
                </c:pt>
                <c:pt idx="81">
                  <c:v>1.6838445425444348</c:v>
                </c:pt>
                <c:pt idx="82">
                  <c:v>1.6881896098000837</c:v>
                </c:pt>
                <c:pt idx="83">
                  <c:v>1.6920542485182595</c:v>
                </c:pt>
                <c:pt idx="84">
                  <c:v>1.7006599891295906</c:v>
                </c:pt>
                <c:pt idx="85">
                  <c:v>1.7092657297409217</c:v>
                </c:pt>
                <c:pt idx="86">
                  <c:v>1.7178714703522528</c:v>
                </c:pt>
                <c:pt idx="87">
                  <c:v>1.726477210963584</c:v>
                </c:pt>
                <c:pt idx="88">
                  <c:v>1.7350829515749151</c:v>
                </c:pt>
                <c:pt idx="89">
                  <c:v>1.7436886921862462</c:v>
                </c:pt>
                <c:pt idx="90">
                  <c:v>1.7522944327975774</c:v>
                </c:pt>
                <c:pt idx="91">
                  <c:v>1.7609001734089085</c:v>
                </c:pt>
                <c:pt idx="92">
                  <c:v>1.7695059140202396</c:v>
                </c:pt>
                <c:pt idx="93">
                  <c:v>1.7781116546315707</c:v>
                </c:pt>
                <c:pt idx="94">
                  <c:v>1.7867173952429016</c:v>
                </c:pt>
                <c:pt idx="95">
                  <c:v>1.795323135854233</c:v>
                </c:pt>
                <c:pt idx="96">
                  <c:v>1.8039288764655639</c:v>
                </c:pt>
                <c:pt idx="97">
                  <c:v>1.812534617076895</c:v>
                </c:pt>
                <c:pt idx="98">
                  <c:v>1.8211403576882264</c:v>
                </c:pt>
                <c:pt idx="99">
                  <c:v>1.8297460982995573</c:v>
                </c:pt>
                <c:pt idx="100">
                  <c:v>1.8383518389108884</c:v>
                </c:pt>
              </c:numCache>
            </c:numRef>
          </c:val>
          <c:smooth val="0"/>
        </c:ser>
        <c:ser>
          <c:idx val="2"/>
          <c:order val="2"/>
          <c:tx>
            <c:v>VIN = 48V</c:v>
          </c:tx>
          <c:spPr>
            <a:ln>
              <a:solidFill>
                <a:srgbClr val="FF0000"/>
              </a:solidFill>
              <a:prstDash val="solid"/>
            </a:ln>
          </c:spPr>
          <c:marker>
            <c:symbol val="none"/>
          </c:marker>
          <c:val>
            <c:numRef>
              <c:f>'Calculations - Single'!$AK$216:$AK$316</c:f>
              <c:numCache>
                <c:formatCode>0.000</c:formatCode>
                <c:ptCount val="101"/>
                <c:pt idx="0">
                  <c:v>1.0057142857142858</c:v>
                </c:pt>
                <c:pt idx="1">
                  <c:v>1.0224338624338625</c:v>
                </c:pt>
                <c:pt idx="2">
                  <c:v>1.0448677248677249</c:v>
                </c:pt>
                <c:pt idx="3">
                  <c:v>1.0673015873015872</c:v>
                </c:pt>
                <c:pt idx="4">
                  <c:v>1.0897354497354497</c:v>
                </c:pt>
                <c:pt idx="5">
                  <c:v>1.1121693121693121</c:v>
                </c:pt>
                <c:pt idx="6">
                  <c:v>1.1346031746031746</c:v>
                </c:pt>
                <c:pt idx="7">
                  <c:v>1.1570370370370371</c:v>
                </c:pt>
                <c:pt idx="8">
                  <c:v>1.1794708994708993</c:v>
                </c:pt>
                <c:pt idx="9">
                  <c:v>1.201055693458674</c:v>
                </c:pt>
                <c:pt idx="10">
                  <c:v>1.2131333660333301</c:v>
                </c:pt>
                <c:pt idx="11">
                  <c:v>1.2246208012064921</c:v>
                </c:pt>
                <c:pt idx="12">
                  <c:v>1.2355969072227058</c:v>
                </c:pt>
                <c:pt idx="13">
                  <c:v>1.24612443566651</c:v>
                </c:pt>
                <c:pt idx="14">
                  <c:v>1.2562542652814159</c:v>
                </c:pt>
                <c:pt idx="15">
                  <c:v>1.266028327447116</c:v>
                </c:pt>
                <c:pt idx="16">
                  <c:v>1.275481665352306</c:v>
                </c:pt>
                <c:pt idx="17">
                  <c:v>1.284643921184474</c:v>
                </c:pt>
                <c:pt idx="18">
                  <c:v>1.2935404343120975</c:v>
                </c:pt>
                <c:pt idx="19">
                  <c:v>1.3021930680369185</c:v>
                </c:pt>
                <c:pt idx="20">
                  <c:v>1.310620842669078</c:v>
                </c:pt>
                <c:pt idx="21">
                  <c:v>1.3188404276510026</c:v>
                </c:pt>
                <c:pt idx="22">
                  <c:v>1.3268665292878452</c:v>
                </c:pt>
                <c:pt idx="23">
                  <c:v>1.3347121999384448</c:v>
                </c:pt>
                <c:pt idx="24">
                  <c:v>1.3423890872780195</c:v>
                </c:pt>
                <c:pt idx="25">
                  <c:v>1.3499076372459382</c:v>
                </c:pt>
                <c:pt idx="26">
                  <c:v>1.3572772607815158</c:v>
                </c:pt>
                <c:pt idx="27">
                  <c:v>1.3645064719451698</c:v>
                </c:pt>
                <c:pt idx="28">
                  <c:v>1.3716030032074447</c:v>
                </c:pt>
                <c:pt idx="29">
                  <c:v>1.378573902356147</c:v>
                </c:pt>
                <c:pt idx="30">
                  <c:v>1.3854256144816555</c:v>
                </c:pt>
                <c:pt idx="31">
                  <c:v>1.3921640517561311</c:v>
                </c:pt>
                <c:pt idx="32">
                  <c:v>1.3987946531568709</c:v>
                </c:pt>
                <c:pt idx="33">
                  <c:v>1.4053224358502256</c:v>
                </c:pt>
                <c:pt idx="34">
                  <c:v>1.4117520396166547</c:v>
                </c:pt>
                <c:pt idx="35">
                  <c:v>1.4180877654352346</c:v>
                </c:pt>
                <c:pt idx="36">
                  <c:v>1.4243336091395702</c:v>
                </c:pt>
                <c:pt idx="37">
                  <c:v>1.4304932908933914</c:v>
                </c:pt>
                <c:pt idx="38">
                  <c:v>1.4365702811034589</c:v>
                </c:pt>
                <c:pt idx="39">
                  <c:v>1.4425678232823655</c:v>
                </c:pt>
                <c:pt idx="40">
                  <c:v>1.4484889542888826</c:v>
                </c:pt>
                <c:pt idx="41">
                  <c:v>1.4543365223043891</c:v>
                </c:pt>
                <c:pt idx="42">
                  <c:v>1.4601132028473987</c:v>
                </c:pt>
                <c:pt idx="43">
                  <c:v>1.4658215130816985</c:v>
                </c:pt>
                <c:pt idx="44">
                  <c:v>1.4714638246352065</c:v>
                </c:pt>
                <c:pt idx="45">
                  <c:v>1.4770423751147279</c:v>
                </c:pt>
                <c:pt idx="46">
                  <c:v>1.4825592784751971</c:v>
                </c:pt>
                <c:pt idx="47">
                  <c:v>1.4880165343796752</c:v>
                </c:pt>
                <c:pt idx="48">
                  <c:v>1.4934160366676337</c:v>
                </c:pt>
                <c:pt idx="49">
                  <c:v>1.4987595810332022</c:v>
                </c:pt>
                <c:pt idx="50">
                  <c:v>1.5040488720016441</c:v>
                </c:pt>
                <c:pt idx="51">
                  <c:v>1.5092855292808931</c:v>
                </c:pt>
                <c:pt idx="52">
                  <c:v>1.5144710935552421</c:v>
                </c:pt>
                <c:pt idx="53">
                  <c:v>1.5196070317799224</c:v>
                </c:pt>
                <c:pt idx="54">
                  <c:v>1.5246947420281405</c:v>
                </c:pt>
                <c:pt idx="55">
                  <c:v>1.5297355579359562</c:v>
                </c:pt>
                <c:pt idx="56">
                  <c:v>1.5347307527850542</c:v>
                </c:pt>
                <c:pt idx="57">
                  <c:v>1.5396815432588142</c:v>
                </c:pt>
                <c:pt idx="58">
                  <c:v>1.5445890929030841</c:v>
                </c:pt>
                <c:pt idx="59">
                  <c:v>1.5494545153195383</c:v>
                </c:pt>
                <c:pt idx="60">
                  <c:v>1.5542788771164544</c:v>
                </c:pt>
                <c:pt idx="61">
                  <c:v>1.5590632006390552</c:v>
                </c:pt>
                <c:pt idx="62">
                  <c:v>1.5638084664992185</c:v>
                </c:pt>
                <c:pt idx="63">
                  <c:v>1.568515615922278</c:v>
                </c:pt>
                <c:pt idx="64">
                  <c:v>1.5731855529268344</c:v>
                </c:pt>
                <c:pt idx="65">
                  <c:v>1.5778191463518632</c:v>
                </c:pt>
                <c:pt idx="66">
                  <c:v>1.5824172317440013</c:v>
                </c:pt>
                <c:pt idx="67">
                  <c:v>1.58698061311662</c:v>
                </c:pt>
                <c:pt idx="68">
                  <c:v>1.5915100645911704</c:v>
                </c:pt>
                <c:pt idx="69">
                  <c:v>1.5960063319302917</c:v>
                </c:pt>
                <c:pt idx="70">
                  <c:v>1.6004701339712835</c:v>
                </c:pt>
                <c:pt idx="71">
                  <c:v>1.6049021639677357</c:v>
                </c:pt>
                <c:pt idx="72">
                  <c:v>1.6093030908464174</c:v>
                </c:pt>
                <c:pt idx="73">
                  <c:v>1.6136735603858674</c:v>
                </c:pt>
                <c:pt idx="74">
                  <c:v>1.6180141963225734</c:v>
                </c:pt>
                <c:pt idx="75">
                  <c:v>1.6223256013900977</c:v>
                </c:pt>
                <c:pt idx="76">
                  <c:v>1.6266083582960591</c:v>
                </c:pt>
                <c:pt idx="77">
                  <c:v>1.6308630306414462</c:v>
                </c:pt>
                <c:pt idx="78">
                  <c:v>1.6350901637863737</c:v>
                </c:pt>
                <c:pt idx="79">
                  <c:v>1.6392902856660454</c:v>
                </c:pt>
                <c:pt idx="80">
                  <c:v>1.6434639075603781</c:v>
                </c:pt>
                <c:pt idx="81">
                  <c:v>1.6476115248204666</c:v>
                </c:pt>
                <c:pt idx="82">
                  <c:v>1.6517336175548067</c:v>
                </c:pt>
                <c:pt idx="83">
                  <c:v>1.6558306512779732</c:v>
                </c:pt>
                <c:pt idx="84">
                  <c:v>1.6599030775242274</c:v>
                </c:pt>
                <c:pt idx="85">
                  <c:v>1.6639513344283494</c:v>
                </c:pt>
                <c:pt idx="86">
                  <c:v>1.6679758472758075</c:v>
                </c:pt>
                <c:pt idx="87">
                  <c:v>1.6719770290242186</c:v>
                </c:pt>
                <c:pt idx="88">
                  <c:v>1.6759552807979128</c:v>
                </c:pt>
                <c:pt idx="89">
                  <c:v>1.6799109923572777</c:v>
                </c:pt>
                <c:pt idx="90">
                  <c:v>1.6838445425444348</c:v>
                </c:pt>
                <c:pt idx="91">
                  <c:v>1.6877562997066922</c:v>
                </c:pt>
                <c:pt idx="92">
                  <c:v>1.6916466220991122</c:v>
                </c:pt>
                <c:pt idx="93">
                  <c:v>1.695515858267443</c:v>
                </c:pt>
                <c:pt idx="94">
                  <c:v>1.6993643474125657</c:v>
                </c:pt>
                <c:pt idx="95">
                  <c:v>1.7031924197375417</c:v>
                </c:pt>
                <c:pt idx="96">
                  <c:v>1.7070003967782612</c:v>
                </c:pt>
                <c:pt idx="97">
                  <c:v>1.7107885917186336</c:v>
                </c:pt>
                <c:pt idx="98">
                  <c:v>1.7145573096911906</c:v>
                </c:pt>
                <c:pt idx="99">
                  <c:v>1.718306848063921</c:v>
                </c:pt>
                <c:pt idx="100">
                  <c:v>1.7220374967140986</c:v>
                </c:pt>
              </c:numCache>
            </c:numRef>
          </c:val>
          <c:smooth val="0"/>
        </c:ser>
        <c:dLbls>
          <c:showLegendKey val="0"/>
          <c:showVal val="0"/>
          <c:showCatName val="0"/>
          <c:showSerName val="0"/>
          <c:showPercent val="0"/>
          <c:showBubbleSize val="0"/>
        </c:dLbls>
        <c:marker val="1"/>
        <c:smooth val="0"/>
        <c:axId val="152223104"/>
        <c:axId val="152237568"/>
      </c:lineChart>
      <c:catAx>
        <c:axId val="152223104"/>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2237568"/>
        <c:crosses val="autoZero"/>
        <c:auto val="1"/>
        <c:lblAlgn val="ctr"/>
        <c:lblOffset val="100"/>
        <c:tickLblSkip val="20"/>
        <c:tickMarkSkip val="10"/>
        <c:noMultiLvlLbl val="0"/>
      </c:catAx>
      <c:valAx>
        <c:axId val="152237568"/>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2223104"/>
        <c:crossesAt val="0"/>
        <c:crossBetween val="between"/>
        <c:majorUnit val="0.2"/>
        <c:minorUnit val="0.1"/>
      </c:valAx>
      <c:spPr>
        <a:solidFill>
          <a:srgbClr val="FFFFFF"/>
        </a:solidFill>
        <a:ln w="25400">
          <a:noFill/>
        </a:ln>
      </c:spPr>
    </c:plotArea>
    <c:legend>
      <c:legendPos val="l"/>
      <c:layout>
        <c:manualLayout>
          <c:xMode val="edge"/>
          <c:yMode val="edge"/>
          <c:x val="0.13000396353547364"/>
          <c:y val="0.14281654524319581"/>
          <c:w val="0.16124473739236816"/>
          <c:h val="0.16300730054345325"/>
        </c:manualLayout>
      </c:layout>
      <c:overlay val="1"/>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Single'!$CA$5:$CA$105</c:f>
              <c:numCache>
                <c:formatCode>0.00</c:formatCode>
                <c:ptCount val="101"/>
                <c:pt idx="0">
                  <c:v>2.3808824712858934E-5</c:v>
                </c:pt>
                <c:pt idx="1">
                  <c:v>62.064888199787958</c:v>
                </c:pt>
                <c:pt idx="2">
                  <c:v>70.351620055385212</c:v>
                </c:pt>
                <c:pt idx="3">
                  <c:v>73.582841823243982</c:v>
                </c:pt>
                <c:pt idx="4">
                  <c:v>75.268400104131544</c:v>
                </c:pt>
                <c:pt idx="5">
                  <c:v>76.275588297499198</c:v>
                </c:pt>
                <c:pt idx="6">
                  <c:v>76.922616298136489</c:v>
                </c:pt>
                <c:pt idx="7">
                  <c:v>77.354001291973304</c:v>
                </c:pt>
                <c:pt idx="8">
                  <c:v>77.644987646607106</c:v>
                </c:pt>
                <c:pt idx="9">
                  <c:v>77.30696686382305</c:v>
                </c:pt>
                <c:pt idx="10">
                  <c:v>78.029828336794836</c:v>
                </c:pt>
                <c:pt idx="11">
                  <c:v>78.63752384443579</c:v>
                </c:pt>
                <c:pt idx="12">
                  <c:v>79.155892676817032</c:v>
                </c:pt>
                <c:pt idx="13">
                  <c:v>79.603504904097107</c:v>
                </c:pt>
                <c:pt idx="14">
                  <c:v>79.994064539820727</c:v>
                </c:pt>
                <c:pt idx="15">
                  <c:v>80.337914946278346</c:v>
                </c:pt>
                <c:pt idx="16">
                  <c:v>80.643015804735626</c:v>
                </c:pt>
                <c:pt idx="17">
                  <c:v>80.915596660962947</c:v>
                </c:pt>
                <c:pt idx="18">
                  <c:v>81.160605762736509</c:v>
                </c:pt>
                <c:pt idx="19">
                  <c:v>81.382025490069125</c:v>
                </c:pt>
                <c:pt idx="20">
                  <c:v>81.583098585938899</c:v>
                </c:pt>
                <c:pt idx="21">
                  <c:v>81.766493375981696</c:v>
                </c:pt>
                <c:pt idx="22">
                  <c:v>81.934426403675616</c:v>
                </c:pt>
                <c:pt idx="23">
                  <c:v>82.08875479695223</c:v>
                </c:pt>
                <c:pt idx="24">
                  <c:v>82.231046764153277</c:v>
                </c:pt>
                <c:pt idx="25">
                  <c:v>82.362636050103148</c:v>
                </c:pt>
                <c:pt idx="26">
                  <c:v>82.484664467725594</c:v>
                </c:pt>
                <c:pt idx="27">
                  <c:v>82.598115453817996</c:v>
                </c:pt>
                <c:pt idx="28">
                  <c:v>82.703840790847011</c:v>
                </c:pt>
                <c:pt idx="29">
                  <c:v>82.80258207041777</c:v>
                </c:pt>
                <c:pt idx="30">
                  <c:v>82.894988071154302</c:v>
                </c:pt>
                <c:pt idx="31">
                  <c:v>82.981628933340261</c:v>
                </c:pt>
                <c:pt idx="32">
                  <c:v>83.063007800888158</c:v>
                </c:pt>
                <c:pt idx="33">
                  <c:v>83.139570445048022</c:v>
                </c:pt>
                <c:pt idx="34">
                  <c:v>83.21171326793683</c:v>
                </c:pt>
                <c:pt idx="35">
                  <c:v>83.279789996476865</c:v>
                </c:pt>
                <c:pt idx="36">
                  <c:v>83.344117310932731</c:v>
                </c:pt>
                <c:pt idx="37">
                  <c:v>83.404979601422085</c:v>
                </c:pt>
                <c:pt idx="38">
                  <c:v>83.462633006577562</c:v>
                </c:pt>
                <c:pt idx="39">
                  <c:v>83.517308858073676</c:v>
                </c:pt>
                <c:pt idx="40">
                  <c:v>83.569216630890992</c:v>
                </c:pt>
                <c:pt idx="41">
                  <c:v>83.618546480404959</c:v>
                </c:pt>
                <c:pt idx="42">
                  <c:v>83.665471432493476</c:v>
                </c:pt>
                <c:pt idx="43">
                  <c:v>83.710149280978257</c:v>
                </c:pt>
                <c:pt idx="44">
                  <c:v>83.75272423718603</c:v>
                </c:pt>
                <c:pt idx="45">
                  <c:v>83.793328368730684</c:v>
                </c:pt>
                <c:pt idx="46">
                  <c:v>83.832082858388517</c:v>
                </c:pt>
                <c:pt idx="47">
                  <c:v>83.869099108862713</c:v>
                </c:pt>
                <c:pt idx="48">
                  <c:v>83.904479715081479</c:v>
                </c:pt>
                <c:pt idx="49">
                  <c:v>83.938319322258508</c:v>
                </c:pt>
                <c:pt idx="50">
                  <c:v>83.970705385125939</c:v>
                </c:pt>
                <c:pt idx="51">
                  <c:v>84.001718841413677</c:v>
                </c:pt>
                <c:pt idx="52">
                  <c:v>84.031434710702854</c:v>
                </c:pt>
                <c:pt idx="53">
                  <c:v>84.059922628158063</c:v>
                </c:pt>
                <c:pt idx="54">
                  <c:v>84.087247321279577</c:v>
                </c:pt>
                <c:pt idx="55">
                  <c:v>84.113469036671859</c:v>
                </c:pt>
                <c:pt idx="56">
                  <c:v>84.138643922856986</c:v>
                </c:pt>
                <c:pt idx="57">
                  <c:v>84.162824374342392</c:v>
                </c:pt>
                <c:pt idx="58">
                  <c:v>84.186059341457366</c:v>
                </c:pt>
                <c:pt idx="59">
                  <c:v>84.208394609879065</c:v>
                </c:pt>
                <c:pt idx="60">
                  <c:v>84.229873053263262</c:v>
                </c:pt>
                <c:pt idx="61">
                  <c:v>84.250534861960745</c:v>
                </c:pt>
                <c:pt idx="62">
                  <c:v>84.270417750427811</c:v>
                </c:pt>
                <c:pt idx="63">
                  <c:v>84.289557145618005</c:v>
                </c:pt>
                <c:pt idx="64">
                  <c:v>84.307986358365838</c:v>
                </c:pt>
                <c:pt idx="65">
                  <c:v>84.325736739532459</c:v>
                </c:pt>
                <c:pt idx="66">
                  <c:v>84.342837822476014</c:v>
                </c:pt>
                <c:pt idx="67">
                  <c:v>84.359317453228044</c:v>
                </c:pt>
                <c:pt idx="68">
                  <c:v>84.375201909599824</c:v>
                </c:pt>
                <c:pt idx="69">
                  <c:v>84.390516010304779</c:v>
                </c:pt>
                <c:pt idx="70">
                  <c:v>84.405283215063193</c:v>
                </c:pt>
                <c:pt idx="71">
                  <c:v>84.419525716548733</c:v>
                </c:pt>
                <c:pt idx="72">
                  <c:v>84.433264524945187</c:v>
                </c:pt>
                <c:pt idx="73">
                  <c:v>84.44651954579831</c:v>
                </c:pt>
                <c:pt idx="74">
                  <c:v>84.459309651777545</c:v>
                </c:pt>
                <c:pt idx="75">
                  <c:v>84.471652748897355</c:v>
                </c:pt>
                <c:pt idx="76">
                  <c:v>84.483565837692367</c:v>
                </c:pt>
                <c:pt idx="77">
                  <c:v>84.495065069790925</c:v>
                </c:pt>
                <c:pt idx="78">
                  <c:v>84.506165800286482</c:v>
                </c:pt>
                <c:pt idx="79">
                  <c:v>84.577212339710755</c:v>
                </c:pt>
                <c:pt idx="80">
                  <c:v>84.685724365029685</c:v>
                </c:pt>
                <c:pt idx="81">
                  <c:v>84.790717805864944</c:v>
                </c:pt>
                <c:pt idx="82">
                  <c:v>84.892345946747</c:v>
                </c:pt>
                <c:pt idx="83">
                  <c:v>84.998858064698467</c:v>
                </c:pt>
                <c:pt idx="84">
                  <c:v>85.018116600698789</c:v>
                </c:pt>
                <c:pt idx="85">
                  <c:v>85.035976559489399</c:v>
                </c:pt>
                <c:pt idx="86">
                  <c:v>85.052489130043568</c:v>
                </c:pt>
                <c:pt idx="87">
                  <c:v>85.067703035986767</c:v>
                </c:pt>
                <c:pt idx="88">
                  <c:v>85.081664680104311</c:v>
                </c:pt>
                <c:pt idx="89">
                  <c:v>85.094418278878379</c:v>
                </c:pt>
                <c:pt idx="90">
                  <c:v>85.106005987842721</c:v>
                </c:pt>
                <c:pt idx="91">
                  <c:v>85.116468018472887</c:v>
                </c:pt>
                <c:pt idx="92">
                  <c:v>85.12584274726683</c:v>
                </c:pt>
                <c:pt idx="93">
                  <c:v>85.134166817614258</c:v>
                </c:pt>
                <c:pt idx="94">
                  <c:v>85.141475235000726</c:v>
                </c:pt>
                <c:pt idx="95">
                  <c:v>85.147801456047205</c:v>
                </c:pt>
                <c:pt idx="96">
                  <c:v>85.153177471842085</c:v>
                </c:pt>
                <c:pt idx="97">
                  <c:v>85.157633885986016</c:v>
                </c:pt>
                <c:pt idx="98">
                  <c:v>85.161199987733895</c:v>
                </c:pt>
                <c:pt idx="99">
                  <c:v>85.163903820587791</c:v>
                </c:pt>
                <c:pt idx="100">
                  <c:v>85.165772246665256</c:v>
                </c:pt>
              </c:numCache>
            </c:numRef>
          </c:val>
          <c:smooth val="0"/>
        </c:ser>
        <c:dLbls>
          <c:showLegendKey val="0"/>
          <c:showVal val="0"/>
          <c:showCatName val="0"/>
          <c:showSerName val="0"/>
          <c:showPercent val="0"/>
          <c:showBubbleSize val="0"/>
        </c:dLbls>
        <c:marker val="1"/>
        <c:smooth val="0"/>
        <c:axId val="152290432"/>
        <c:axId val="152292352"/>
      </c:lineChart>
      <c:lineChart>
        <c:grouping val="standard"/>
        <c:varyColors val="0"/>
        <c:ser>
          <c:idx val="2"/>
          <c:order val="1"/>
          <c:tx>
            <c:strRef>
              <c:f>'Calculations - Single'!$BN$3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Single'!$BQ$5:$BQ$105</c:f>
              <c:numCache>
                <c:formatCode>0.0</c:formatCode>
                <c:ptCount val="101"/>
                <c:pt idx="0">
                  <c:v>3.8800000000000003E-7</c:v>
                </c:pt>
                <c:pt idx="1">
                  <c:v>3.88</c:v>
                </c:pt>
                <c:pt idx="2">
                  <c:v>7.76</c:v>
                </c:pt>
                <c:pt idx="3">
                  <c:v>11.639999999999999</c:v>
                </c:pt>
                <c:pt idx="4">
                  <c:v>15.52</c:v>
                </c:pt>
                <c:pt idx="5">
                  <c:v>19.400000000000006</c:v>
                </c:pt>
                <c:pt idx="6">
                  <c:v>23.279999999999998</c:v>
                </c:pt>
                <c:pt idx="7">
                  <c:v>27.160000000000004</c:v>
                </c:pt>
                <c:pt idx="8">
                  <c:v>31.04</c:v>
                </c:pt>
                <c:pt idx="9">
                  <c:v>34.92</c:v>
                </c:pt>
                <c:pt idx="10">
                  <c:v>38.800000000000011</c:v>
                </c:pt>
                <c:pt idx="11">
                  <c:v>42.68</c:v>
                </c:pt>
                <c:pt idx="12">
                  <c:v>46.559999999999995</c:v>
                </c:pt>
                <c:pt idx="13">
                  <c:v>50.440000000000005</c:v>
                </c:pt>
                <c:pt idx="14">
                  <c:v>54.320000000000007</c:v>
                </c:pt>
                <c:pt idx="15">
                  <c:v>58.199999999999996</c:v>
                </c:pt>
                <c:pt idx="16">
                  <c:v>62.08</c:v>
                </c:pt>
                <c:pt idx="17">
                  <c:v>65.960000000000008</c:v>
                </c:pt>
                <c:pt idx="18">
                  <c:v>69.84</c:v>
                </c:pt>
                <c:pt idx="19">
                  <c:v>73.720000000000013</c:v>
                </c:pt>
                <c:pt idx="20">
                  <c:v>77.600000000000023</c:v>
                </c:pt>
                <c:pt idx="21">
                  <c:v>81.47999999999999</c:v>
                </c:pt>
                <c:pt idx="22">
                  <c:v>85.36</c:v>
                </c:pt>
                <c:pt idx="23">
                  <c:v>89.240000000000009</c:v>
                </c:pt>
                <c:pt idx="24">
                  <c:v>93.11999999999999</c:v>
                </c:pt>
                <c:pt idx="25">
                  <c:v>97</c:v>
                </c:pt>
                <c:pt idx="26">
                  <c:v>100.88000000000001</c:v>
                </c:pt>
                <c:pt idx="27">
                  <c:v>104.76</c:v>
                </c:pt>
                <c:pt idx="28">
                  <c:v>108.64000000000001</c:v>
                </c:pt>
                <c:pt idx="29">
                  <c:v>112.52</c:v>
                </c:pt>
                <c:pt idx="30">
                  <c:v>116.39999999999999</c:v>
                </c:pt>
                <c:pt idx="31">
                  <c:v>120.28</c:v>
                </c:pt>
                <c:pt idx="32">
                  <c:v>124.16</c:v>
                </c:pt>
                <c:pt idx="33">
                  <c:v>128.04000000000002</c:v>
                </c:pt>
                <c:pt idx="34">
                  <c:v>131.92000000000002</c:v>
                </c:pt>
                <c:pt idx="35">
                  <c:v>135.79999999999998</c:v>
                </c:pt>
                <c:pt idx="36">
                  <c:v>139.68</c:v>
                </c:pt>
                <c:pt idx="37">
                  <c:v>143.56</c:v>
                </c:pt>
                <c:pt idx="38">
                  <c:v>147.44000000000003</c:v>
                </c:pt>
                <c:pt idx="39">
                  <c:v>151.32000000000002</c:v>
                </c:pt>
                <c:pt idx="40">
                  <c:v>155.20000000000005</c:v>
                </c:pt>
                <c:pt idx="41">
                  <c:v>159.08000000000001</c:v>
                </c:pt>
                <c:pt idx="42">
                  <c:v>162.95999999999998</c:v>
                </c:pt>
                <c:pt idx="43">
                  <c:v>166.84</c:v>
                </c:pt>
                <c:pt idx="44">
                  <c:v>170.72</c:v>
                </c:pt>
                <c:pt idx="45">
                  <c:v>174.6</c:v>
                </c:pt>
                <c:pt idx="46">
                  <c:v>178.48000000000002</c:v>
                </c:pt>
                <c:pt idx="47">
                  <c:v>182.35999999999999</c:v>
                </c:pt>
                <c:pt idx="48">
                  <c:v>186.23999999999998</c:v>
                </c:pt>
                <c:pt idx="49">
                  <c:v>190.12</c:v>
                </c:pt>
                <c:pt idx="50">
                  <c:v>194</c:v>
                </c:pt>
                <c:pt idx="51">
                  <c:v>197.88</c:v>
                </c:pt>
                <c:pt idx="52">
                  <c:v>201.76000000000002</c:v>
                </c:pt>
                <c:pt idx="53">
                  <c:v>205.64000000000001</c:v>
                </c:pt>
                <c:pt idx="54">
                  <c:v>209.52</c:v>
                </c:pt>
                <c:pt idx="55">
                  <c:v>213.40000000000003</c:v>
                </c:pt>
                <c:pt idx="56">
                  <c:v>217.28000000000003</c:v>
                </c:pt>
                <c:pt idx="57">
                  <c:v>221.15999999999997</c:v>
                </c:pt>
                <c:pt idx="58">
                  <c:v>225.04</c:v>
                </c:pt>
                <c:pt idx="59">
                  <c:v>228.92</c:v>
                </c:pt>
                <c:pt idx="60">
                  <c:v>232.79999999999998</c:v>
                </c:pt>
                <c:pt idx="61">
                  <c:v>236.68</c:v>
                </c:pt>
                <c:pt idx="62">
                  <c:v>240.56</c:v>
                </c:pt>
                <c:pt idx="63">
                  <c:v>244.44</c:v>
                </c:pt>
                <c:pt idx="64">
                  <c:v>248.32</c:v>
                </c:pt>
                <c:pt idx="65">
                  <c:v>252.2</c:v>
                </c:pt>
                <c:pt idx="66">
                  <c:v>256.08000000000004</c:v>
                </c:pt>
                <c:pt idx="67">
                  <c:v>259.96000000000004</c:v>
                </c:pt>
                <c:pt idx="68">
                  <c:v>263.84000000000003</c:v>
                </c:pt>
                <c:pt idx="69">
                  <c:v>267.71999999999997</c:v>
                </c:pt>
                <c:pt idx="70">
                  <c:v>271.59999999999997</c:v>
                </c:pt>
                <c:pt idx="71">
                  <c:v>275.47999999999996</c:v>
                </c:pt>
                <c:pt idx="72">
                  <c:v>279.36</c:v>
                </c:pt>
                <c:pt idx="73">
                  <c:v>283.24</c:v>
                </c:pt>
                <c:pt idx="74">
                  <c:v>287.12</c:v>
                </c:pt>
                <c:pt idx="75">
                  <c:v>291.00000000000006</c:v>
                </c:pt>
                <c:pt idx="76">
                  <c:v>294.88000000000005</c:v>
                </c:pt>
                <c:pt idx="77">
                  <c:v>298.76000000000005</c:v>
                </c:pt>
                <c:pt idx="78">
                  <c:v>302.64000000000004</c:v>
                </c:pt>
                <c:pt idx="79">
                  <c:v>306.5200000000001</c:v>
                </c:pt>
                <c:pt idx="80">
                  <c:v>310.40000000000009</c:v>
                </c:pt>
                <c:pt idx="81">
                  <c:v>314.28000000000009</c:v>
                </c:pt>
                <c:pt idx="82">
                  <c:v>318.16000000000003</c:v>
                </c:pt>
                <c:pt idx="83">
                  <c:v>322.04000000000002</c:v>
                </c:pt>
                <c:pt idx="84">
                  <c:v>325.91999999999996</c:v>
                </c:pt>
                <c:pt idx="85">
                  <c:v>329.8</c:v>
                </c:pt>
                <c:pt idx="86">
                  <c:v>333.68</c:v>
                </c:pt>
                <c:pt idx="87">
                  <c:v>337.56</c:v>
                </c:pt>
                <c:pt idx="88">
                  <c:v>341.44</c:v>
                </c:pt>
                <c:pt idx="89">
                  <c:v>345.32</c:v>
                </c:pt>
                <c:pt idx="90">
                  <c:v>349.2</c:v>
                </c:pt>
                <c:pt idx="91">
                  <c:v>353.08000000000004</c:v>
                </c:pt>
                <c:pt idx="92">
                  <c:v>356.96000000000004</c:v>
                </c:pt>
                <c:pt idx="93">
                  <c:v>360.84000000000003</c:v>
                </c:pt>
                <c:pt idx="94">
                  <c:v>364.71999999999997</c:v>
                </c:pt>
                <c:pt idx="95">
                  <c:v>368.59999999999997</c:v>
                </c:pt>
                <c:pt idx="96">
                  <c:v>372.47999999999996</c:v>
                </c:pt>
                <c:pt idx="97">
                  <c:v>376.36</c:v>
                </c:pt>
                <c:pt idx="98">
                  <c:v>380.24</c:v>
                </c:pt>
                <c:pt idx="99">
                  <c:v>384.12</c:v>
                </c:pt>
                <c:pt idx="100">
                  <c:v>388</c:v>
                </c:pt>
              </c:numCache>
            </c:numRef>
          </c:val>
          <c:smooth val="0"/>
        </c:ser>
        <c:ser>
          <c:idx val="3"/>
          <c:order val="2"/>
          <c:tx>
            <c:strRef>
              <c:f>'Calculations - Single'!$BG$3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Single'!$BM$5:$BM$105</c:f>
              <c:numCache>
                <c:formatCode>0.0</c:formatCode>
                <c:ptCount val="101"/>
                <c:pt idx="0">
                  <c:v>8.8235660087713672</c:v>
                </c:pt>
                <c:pt idx="1">
                  <c:v>14.276514185454618</c:v>
                </c:pt>
                <c:pt idx="2">
                  <c:v>21.593812245610554</c:v>
                </c:pt>
                <c:pt idx="3">
                  <c:v>28.911894306448385</c:v>
                </c:pt>
                <c:pt idx="4">
                  <c:v>36.230760493975687</c:v>
                </c:pt>
                <c:pt idx="5">
                  <c:v>43.550410934227052</c:v>
                </c:pt>
                <c:pt idx="6">
                  <c:v>50.870845753264064</c:v>
                </c:pt>
                <c:pt idx="7">
                  <c:v>58.192065077175329</c:v>
                </c:pt>
                <c:pt idx="8">
                  <c:v>65.514069032076492</c:v>
                </c:pt>
                <c:pt idx="9">
                  <c:v>74.373830088438908</c:v>
                </c:pt>
                <c:pt idx="10">
                  <c:v>76.500724543002647</c:v>
                </c:pt>
                <c:pt idx="11">
                  <c:v>78.556731459263943</c:v>
                </c:pt>
                <c:pt idx="12">
                  <c:v>80.552849766841518</c:v>
                </c:pt>
                <c:pt idx="13">
                  <c:v>82.497769171632314</c:v>
                </c:pt>
                <c:pt idx="14">
                  <c:v>84.398489160125067</c:v>
                </c:pt>
                <c:pt idx="15">
                  <c:v>86.260740536588031</c:v>
                </c:pt>
                <c:pt idx="16">
                  <c:v>88.089281297639516</c:v>
                </c:pt>
                <c:pt idx="17">
                  <c:v>89.888109718498782</c:v>
                </c:pt>
                <c:pt idx="18">
                  <c:v>91.6606212576133</c:v>
                </c:pt>
                <c:pt idx="19">
                  <c:v>93.409726346245805</c:v>
                </c:pt>
                <c:pt idx="20">
                  <c:v>95.13794032880925</c:v>
                </c:pt>
                <c:pt idx="21">
                  <c:v>96.847453179892412</c:v>
                </c:pt>
                <c:pt idx="22">
                  <c:v>98.540184276023496</c:v>
                </c:pt>
                <c:pt idx="23">
                  <c:v>100.21782594817978</c:v>
                </c:pt>
                <c:pt idx="24">
                  <c:v>101.88187849244726</c:v>
                </c:pt>
                <c:pt idx="25">
                  <c:v>103.53367859373796</c:v>
                </c:pt>
                <c:pt idx="26">
                  <c:v>105.17442261077133</c:v>
                </c:pt>
                <c:pt idx="27">
                  <c:v>106.80518580940694</c:v>
                </c:pt>
                <c:pt idx="28">
                  <c:v>108.42693837025037</c:v>
                </c:pt>
                <c:pt idx="29">
                  <c:v>110.04055880502067</c:v>
                </c:pt>
                <c:pt idx="30">
                  <c:v>111.64684527410849</c:v>
                </c:pt>
                <c:pt idx="31">
                  <c:v>113.24652519112249</c:v>
                </c:pt>
                <c:pt idx="32">
                  <c:v>114.84026341933846</c:v>
                </c:pt>
                <c:pt idx="33">
                  <c:v>116.4286693030072</c:v>
                </c:pt>
                <c:pt idx="34">
                  <c:v>118.01230272858449</c:v>
                </c:pt>
                <c:pt idx="35">
                  <c:v>119.59167937360598</c:v>
                </c:pt>
                <c:pt idx="36">
                  <c:v>121.16727527158986</c:v>
                </c:pt>
                <c:pt idx="37">
                  <c:v>122.73953079811929</c:v>
                </c:pt>
                <c:pt idx="38">
                  <c:v>124.30885416473603</c:v>
                </c:pt>
                <c:pt idx="39">
                  <c:v>125.87562449241358</c:v>
                </c:pt>
                <c:pt idx="40">
                  <c:v>127.44019452437605</c:v>
                </c:pt>
                <c:pt idx="41">
                  <c:v>129.00289302827807</c:v>
                </c:pt>
                <c:pt idx="42">
                  <c:v>130.56402692979975</c:v>
                </c:pt>
                <c:pt idx="43">
                  <c:v>132.12388321317005</c:v>
                </c:pt>
                <c:pt idx="44">
                  <c:v>133.68273061873668</c:v>
                </c:pt>
                <c:pt idx="45">
                  <c:v>135.24082116322839</c:v>
                </c:pt>
                <c:pt idx="46">
                  <c:v>136.79839150462612</c:v>
                </c:pt>
                <c:pt idx="47">
                  <c:v>138.35566417044632</c:v>
                </c:pt>
                <c:pt idx="48">
                  <c:v>139.91284866561875</c:v>
                </c:pt>
                <c:pt idx="49">
                  <c:v>141.47014247393761</c:v>
                </c:pt>
                <c:pt idx="50">
                  <c:v>143.02773196519271</c:v>
                </c:pt>
                <c:pt idx="51">
                  <c:v>144.58579321850405</c:v>
                </c:pt>
                <c:pt idx="52">
                  <c:v>146.14449277102975</c:v>
                </c:pt>
                <c:pt idx="53">
                  <c:v>147.70398830006093</c:v>
                </c:pt>
                <c:pt idx="54">
                  <c:v>149.26442924552572</c:v>
                </c:pt>
                <c:pt idx="55">
                  <c:v>150.82595737907099</c:v>
                </c:pt>
                <c:pt idx="56">
                  <c:v>152.38870732515491</c:v>
                </c:pt>
                <c:pt idx="57">
                  <c:v>153.95280703894588</c:v>
                </c:pt>
                <c:pt idx="58">
                  <c:v>155.51837824527001</c:v>
                </c:pt>
                <c:pt idx="59">
                  <c:v>157.08553684237037</c:v>
                </c:pt>
                <c:pt idx="60">
                  <c:v>158.6543932738206</c:v>
                </c:pt>
                <c:pt idx="61">
                  <c:v>160.2250528715692</c:v>
                </c:pt>
                <c:pt idx="62">
                  <c:v>161.79761617277074</c:v>
                </c:pt>
                <c:pt idx="63">
                  <c:v>163.37217921277679</c:v>
                </c:pt>
                <c:pt idx="64">
                  <c:v>164.94883379641306</c:v>
                </c:pt>
                <c:pt idx="65">
                  <c:v>166.52766774944945</c:v>
                </c:pt>
                <c:pt idx="66">
                  <c:v>168.10876515197577</c:v>
                </c:pt>
                <c:pt idx="67">
                  <c:v>169.69220655522705</c:v>
                </c:pt>
                <c:pt idx="68">
                  <c:v>171.27806918324714</c:v>
                </c:pt>
                <c:pt idx="69">
                  <c:v>172.86642712064909</c:v>
                </c:pt>
                <c:pt idx="70">
                  <c:v>174.4573514876048</c:v>
                </c:pt>
                <c:pt idx="71">
                  <c:v>176.05091060309536</c:v>
                </c:pt>
                <c:pt idx="72">
                  <c:v>177.64717013735282</c:v>
                </c:pt>
                <c:pt idx="73">
                  <c:v>179.24619325434261</c:v>
                </c:pt>
                <c:pt idx="74">
                  <c:v>180.84804074505544</c:v>
                </c:pt>
                <c:pt idx="75">
                  <c:v>182.45277115231153</c:v>
                </c:pt>
                <c:pt idx="76">
                  <c:v>184.06044088771748</c:v>
                </c:pt>
                <c:pt idx="77">
                  <c:v>185.6711043413581</c:v>
                </c:pt>
                <c:pt idx="78">
                  <c:v>187.28481398475972</c:v>
                </c:pt>
                <c:pt idx="79">
                  <c:v>187.50266579917815</c:v>
                </c:pt>
                <c:pt idx="80">
                  <c:v>186.79884244662313</c:v>
                </c:pt>
                <c:pt idx="81">
                  <c:v>186.1144544468896</c:v>
                </c:pt>
                <c:pt idx="82">
                  <c:v>185.44882527935141</c:v>
                </c:pt>
                <c:pt idx="83">
                  <c:v>184.63934315240178</c:v>
                </c:pt>
                <c:pt idx="84">
                  <c:v>185.54722341513684</c:v>
                </c:pt>
                <c:pt idx="85">
                  <c:v>186.47973422321118</c:v>
                </c:pt>
                <c:pt idx="86">
                  <c:v>187.43661314369785</c:v>
                </c:pt>
                <c:pt idx="87">
                  <c:v>188.41761190403716</c:v>
                </c:pt>
                <c:pt idx="88">
                  <c:v>189.42249561727269</c:v>
                </c:pt>
                <c:pt idx="89">
                  <c:v>190.45104205972427</c:v>
                </c:pt>
                <c:pt idx="90">
                  <c:v>191.50304099702169</c:v>
                </c:pt>
                <c:pt idx="91">
                  <c:v>192.57829355478347</c:v>
                </c:pt>
                <c:pt idx="92">
                  <c:v>193.67661163054609</c:v>
                </c:pt>
                <c:pt idx="93">
                  <c:v>194.79781734384241</c:v>
                </c:pt>
                <c:pt idx="94">
                  <c:v>195.94174252159169</c:v>
                </c:pt>
                <c:pt idx="95">
                  <c:v>197.10822821620326</c:v>
                </c:pt>
                <c:pt idx="96">
                  <c:v>198.29712425400953</c:v>
                </c:pt>
                <c:pt idx="97">
                  <c:v>199.50828881184648</c:v>
                </c:pt>
                <c:pt idx="98">
                  <c:v>200.74158801977066</c:v>
                </c:pt>
                <c:pt idx="99">
                  <c:v>201.9968955880702</c:v>
                </c:pt>
                <c:pt idx="100">
                  <c:v>203.27409245687218</c:v>
                </c:pt>
              </c:numCache>
            </c:numRef>
          </c:val>
          <c:smooth val="0"/>
        </c:ser>
        <c:ser>
          <c:idx val="1"/>
          <c:order val="3"/>
          <c:tx>
            <c:strRef>
              <c:f>'Calculations - Single'!$BR$3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Single'!$BW$5:$BW$105</c:f>
              <c:numCache>
                <c:formatCode>0.0</c:formatCode>
                <c:ptCount val="101"/>
                <c:pt idx="0">
                  <c:v>12.177045224592327</c:v>
                </c:pt>
                <c:pt idx="1">
                  <c:v>12.404333421406649</c:v>
                </c:pt>
                <c:pt idx="2">
                  <c:v>12.789325213446855</c:v>
                </c:pt>
                <c:pt idx="3">
                  <c:v>13.299976976697279</c:v>
                </c:pt>
                <c:pt idx="4">
                  <c:v>13.964997677190505</c:v>
                </c:pt>
                <c:pt idx="5">
                  <c:v>14.808450819706566</c:v>
                </c:pt>
                <c:pt idx="6">
                  <c:v>15.851489629168446</c:v>
                </c:pt>
                <c:pt idx="7">
                  <c:v>17.113216814219221</c:v>
                </c:pt>
                <c:pt idx="8">
                  <c:v>18.61118776538402</c:v>
                </c:pt>
                <c:pt idx="9">
                  <c:v>22.801184443277592</c:v>
                </c:pt>
                <c:pt idx="10">
                  <c:v>25.47987264335023</c:v>
                </c:pt>
                <c:pt idx="11">
                  <c:v>28.174914675517972</c:v>
                </c:pt>
                <c:pt idx="12">
                  <c:v>30.885044906294382</c:v>
                </c:pt>
                <c:pt idx="13">
                  <c:v>33.609191647608114</c:v>
                </c:pt>
                <c:pt idx="14">
                  <c:v>36.346434752501899</c:v>
                </c:pt>
                <c:pt idx="15">
                  <c:v>39.095974871724565</c:v>
                </c:pt>
                <c:pt idx="16">
                  <c:v>41.857110593598875</c:v>
                </c:pt>
                <c:pt idx="17">
                  <c:v>44.629221075349697</c:v>
                </c:pt>
                <c:pt idx="18">
                  <c:v>47.411752599038536</c:v>
                </c:pt>
                <c:pt idx="19">
                  <c:v>50.204207995221637</c:v>
                </c:pt>
                <c:pt idx="20">
                  <c:v>53.006138203105102</c:v>
                </c:pt>
                <c:pt idx="21">
                  <c:v>55.817135449891886</c:v>
                </c:pt>
                <c:pt idx="22">
                  <c:v>58.636827676077715</c:v>
                </c:pt>
                <c:pt idx="23">
                  <c:v>61.464873932628869</c:v>
                </c:pt>
                <c:pt idx="24">
                  <c:v>64.300960545608589</c:v>
                </c:pt>
                <c:pt idx="25">
                  <c:v>67.144797893580176</c:v>
                </c:pt>
                <c:pt idx="26">
                  <c:v>69.996117679249181</c:v>
                </c:pt>
                <c:pt idx="27">
                  <c:v>72.854670603428403</c:v>
                </c:pt>
                <c:pt idx="28">
                  <c:v>75.720224369282988</c:v>
                </c:pt>
                <c:pt idx="29">
                  <c:v>78.592561959833077</c:v>
                </c:pt>
                <c:pt idx="30">
                  <c:v>81.471480143165195</c:v>
                </c:pt>
                <c:pt idx="31">
                  <c:v>84.356788168664849</c:v>
                </c:pt>
                <c:pt idx="32">
                  <c:v>87.248306624487753</c:v>
                </c:pt>
                <c:pt idx="33">
                  <c:v>90.145866431917185</c:v>
                </c:pt>
                <c:pt idx="34">
                  <c:v>93.049307956560298</c:v>
                </c:pt>
                <c:pt idx="35">
                  <c:v>95.958480219775936</c:v>
                </c:pt>
                <c:pt idx="36">
                  <c:v>98.873240196492944</c:v>
                </c:pt>
                <c:pt idx="37">
                  <c:v>101.79345218782335</c:v>
                </c:pt>
                <c:pt idx="38">
                  <c:v>104.71898725869983</c:v>
                </c:pt>
                <c:pt idx="39">
                  <c:v>107.6497227322682</c:v>
                </c:pt>
                <c:pt idx="40">
                  <c:v>110.58554173400223</c:v>
                </c:pt>
                <c:pt idx="41">
                  <c:v>113.52633277953238</c:v>
                </c:pt>
                <c:pt idx="42">
                  <c:v>116.47198940103671</c:v>
                </c:pt>
                <c:pt idx="43">
                  <c:v>119.42240980775512</c:v>
                </c:pt>
                <c:pt idx="44">
                  <c:v>122.37749657679255</c:v>
                </c:pt>
                <c:pt idx="45">
                  <c:v>125.33715637088319</c:v>
                </c:pt>
                <c:pt idx="46">
                  <c:v>128.30129968021976</c:v>
                </c:pt>
                <c:pt idx="47">
                  <c:v>131.26984058581996</c:v>
                </c:pt>
                <c:pt idx="48">
                  <c:v>134.24269654221351</c:v>
                </c:pt>
                <c:pt idx="49">
                  <c:v>137.21978817750525</c:v>
                </c:pt>
                <c:pt idx="50">
                  <c:v>140.20103910909972</c:v>
                </c:pt>
                <c:pt idx="51">
                  <c:v>143.18637577357219</c:v>
                </c:pt>
                <c:pt idx="52">
                  <c:v>146.17572726934614</c:v>
                </c:pt>
                <c:pt idx="53">
                  <c:v>149.16902521098552</c:v>
                </c:pt>
                <c:pt idx="54">
                  <c:v>152.16620359404331</c:v>
                </c:pt>
                <c:pt idx="55">
                  <c:v>155.16719866951931</c:v>
                </c:pt>
                <c:pt idx="56">
                  <c:v>158.17194882708444</c:v>
                </c:pt>
                <c:pt idx="57">
                  <c:v>161.18039448631302</c:v>
                </c:pt>
                <c:pt idx="58">
                  <c:v>164.19247799524416</c:v>
                </c:pt>
                <c:pt idx="59">
                  <c:v>167.20814353566104</c:v>
                </c:pt>
                <c:pt idx="60">
                  <c:v>170.22733703453738</c:v>
                </c:pt>
                <c:pt idx="61">
                  <c:v>173.25000608115397</c:v>
                </c:pt>
                <c:pt idx="62">
                  <c:v>176.27609984943598</c:v>
                </c:pt>
                <c:pt idx="63">
                  <c:v>179.30556902510199</c:v>
                </c:pt>
                <c:pt idx="64">
                  <c:v>182.33836573725912</c:v>
                </c:pt>
                <c:pt idx="65">
                  <c:v>185.37444349410271</c:v>
                </c:pt>
                <c:pt idx="66">
                  <c:v>188.41375712242063</c:v>
                </c:pt>
                <c:pt idx="67">
                  <c:v>191.456262710619</c:v>
                </c:pt>
                <c:pt idx="68">
                  <c:v>194.50191755501743</c:v>
                </c:pt>
                <c:pt idx="69">
                  <c:v>197.55068010918023</c:v>
                </c:pt>
                <c:pt idx="70">
                  <c:v>200.60250993607093</c:v>
                </c:pt>
                <c:pt idx="71">
                  <c:v>203.65736766283504</c:v>
                </c:pt>
                <c:pt idx="72">
                  <c:v>206.71521493803064</c:v>
                </c:pt>
                <c:pt idx="73">
                  <c:v>209.77601439114505</c:v>
                </c:pt>
                <c:pt idx="74">
                  <c:v>212.8397295942429</c:v>
                </c:pt>
                <c:pt idx="75">
                  <c:v>215.90632502560783</c:v>
                </c:pt>
                <c:pt idx="76">
                  <c:v>218.97576603524945</c:v>
                </c:pt>
                <c:pt idx="77">
                  <c:v>222.04801881215539</c:v>
                </c:pt>
                <c:pt idx="78">
                  <c:v>225.12305035318008</c:v>
                </c:pt>
                <c:pt idx="79">
                  <c:v>226.26604522445635</c:v>
                </c:pt>
                <c:pt idx="80">
                  <c:v>226.14742398948175</c:v>
                </c:pt>
                <c:pt idx="81">
                  <c:v>226.07177299181984</c:v>
                </c:pt>
                <c:pt idx="82">
                  <c:v>226.03742171202276</c:v>
                </c:pt>
                <c:pt idx="83">
                  <c:v>225.73919103678736</c:v>
                </c:pt>
                <c:pt idx="84">
                  <c:v>228.65632663475793</c:v>
                </c:pt>
                <c:pt idx="85">
                  <c:v>231.60489291079733</c:v>
                </c:pt>
                <c:pt idx="86">
                  <c:v>234.58492361601441</c:v>
                </c:pt>
                <c:pt idx="87">
                  <c:v>237.59645293204926</c:v>
                </c:pt>
                <c:pt idx="88">
                  <c:v>240.63951547220475</c:v>
                </c:pt>
                <c:pt idx="89">
                  <c:v>243.7141462825906</c:v>
                </c:pt>
                <c:pt idx="90">
                  <c:v>246.82038084328761</c:v>
                </c:pt>
                <c:pt idx="91">
                  <c:v>249.9582550695209</c:v>
                </c:pt>
                <c:pt idx="92">
                  <c:v>253.12780531285472</c:v>
                </c:pt>
                <c:pt idx="93">
                  <c:v>256.32906836239766</c:v>
                </c:pt>
                <c:pt idx="94">
                  <c:v>259.56208144602601</c:v>
                </c:pt>
                <c:pt idx="95">
                  <c:v>262.82688223162444</c:v>
                </c:pt>
                <c:pt idx="96">
                  <c:v>266.12350882833601</c:v>
                </c:pt>
                <c:pt idx="97">
                  <c:v>269.45199978783671</c:v>
                </c:pt>
                <c:pt idx="98">
                  <c:v>272.81239410561835</c:v>
                </c:pt>
                <c:pt idx="99">
                  <c:v>276.20473122229151</c:v>
                </c:pt>
                <c:pt idx="100">
                  <c:v>279.62905102490356</c:v>
                </c:pt>
              </c:numCache>
            </c:numRef>
          </c:val>
          <c:smooth val="0"/>
        </c:ser>
        <c:dLbls>
          <c:showLegendKey val="0"/>
          <c:showVal val="0"/>
          <c:showCatName val="0"/>
          <c:showSerName val="0"/>
          <c:showPercent val="0"/>
          <c:showBubbleSize val="0"/>
        </c:dLbls>
        <c:marker val="1"/>
        <c:smooth val="0"/>
        <c:axId val="152304640"/>
        <c:axId val="152302720"/>
      </c:lineChart>
      <c:catAx>
        <c:axId val="152290432"/>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52292352"/>
        <c:crosses val="autoZero"/>
        <c:auto val="1"/>
        <c:lblAlgn val="ctr"/>
        <c:lblOffset val="100"/>
        <c:tickLblSkip val="20"/>
        <c:tickMarkSkip val="20"/>
        <c:noMultiLvlLbl val="0"/>
      </c:catAx>
      <c:valAx>
        <c:axId val="152292352"/>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52290432"/>
        <c:crossesAt val="0"/>
        <c:crossBetween val="between"/>
        <c:majorUnit val="5"/>
        <c:minorUnit val="2.5"/>
      </c:valAx>
      <c:valAx>
        <c:axId val="152302720"/>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52304640"/>
        <c:crosses val="max"/>
        <c:crossBetween val="between"/>
      </c:valAx>
      <c:catAx>
        <c:axId val="152304640"/>
        <c:scaling>
          <c:orientation val="minMax"/>
        </c:scaling>
        <c:delete val="1"/>
        <c:axPos val="b"/>
        <c:numFmt formatCode="General" sourceLinked="1"/>
        <c:majorTickMark val="out"/>
        <c:minorTickMark val="none"/>
        <c:tickLblPos val="nextTo"/>
        <c:crossAx val="15230272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3.9892589721079133E-2"/>
          <c:w val="0.86047278973849184"/>
          <c:h val="0.83734080468357386"/>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342.20451257582295</c:v>
                </c:pt>
                <c:pt idx="42">
                  <c:v>334.05678608592234</c:v>
                </c:pt>
                <c:pt idx="43">
                  <c:v>326.28802361880787</c:v>
                </c:pt>
                <c:pt idx="44">
                  <c:v>318.87238671838037</c:v>
                </c:pt>
                <c:pt idx="45">
                  <c:v>311.78633368019422</c:v>
                </c:pt>
                <c:pt idx="46">
                  <c:v>305.0083699045378</c:v>
                </c:pt>
                <c:pt idx="47">
                  <c:v>298.51883011933495</c:v>
                </c:pt>
                <c:pt idx="48">
                  <c:v>292.29968782518205</c:v>
                </c:pt>
                <c:pt idx="49">
                  <c:v>286.33438807364769</c:v>
                </c:pt>
                <c:pt idx="50">
                  <c:v>280.60770031217481</c:v>
                </c:pt>
                <c:pt idx="51">
                  <c:v>275.10558854134786</c:v>
                </c:pt>
                <c:pt idx="52">
                  <c:v>269.81509645401417</c:v>
                </c:pt>
                <c:pt idx="53">
                  <c:v>264.72424557752333</c:v>
                </c:pt>
                <c:pt idx="54">
                  <c:v>259.82194473349517</c:v>
                </c:pt>
                <c:pt idx="55">
                  <c:v>255.09790937470433</c:v>
                </c:pt>
                <c:pt idx="56">
                  <c:v>250.5425895644417</c:v>
                </c:pt>
                <c:pt idx="57">
                  <c:v>246.14710553699544</c:v>
                </c:pt>
                <c:pt idx="58">
                  <c:v>241.90318992428863</c:v>
                </c:pt>
                <c:pt idx="59">
                  <c:v>237.80313585777523</c:v>
                </c:pt>
                <c:pt idx="60">
                  <c:v>233.83975026014565</c:v>
                </c:pt>
                <c:pt idx="61">
                  <c:v>230.00631173129079</c:v>
                </c:pt>
                <c:pt idx="62">
                  <c:v>226.29653250981835</c:v>
                </c:pt>
                <c:pt idx="63">
                  <c:v>222.70452405728159</c:v>
                </c:pt>
                <c:pt idx="64">
                  <c:v>219.22476586888652</c:v>
                </c:pt>
                <c:pt idx="65">
                  <c:v>215.85207716321136</c:v>
                </c:pt>
                <c:pt idx="66">
                  <c:v>212.58159114558694</c:v>
                </c:pt>
                <c:pt idx="67">
                  <c:v>209.40873157624981</c:v>
                </c:pt>
                <c:pt idx="68">
                  <c:v>206.32919140601081</c:v>
                </c:pt>
                <c:pt idx="69">
                  <c:v>203.33891326969189</c:v>
                </c:pt>
                <c:pt idx="70">
                  <c:v>200.43407165155344</c:v>
                </c:pt>
                <c:pt idx="71">
                  <c:v>197.61105655786957</c:v>
                </c:pt>
                <c:pt idx="72">
                  <c:v>194.86645855012142</c:v>
                </c:pt>
                <c:pt idx="73">
                  <c:v>192.19705500833888</c:v>
                </c:pt>
                <c:pt idx="74">
                  <c:v>189.5997975082262</c:v>
                </c:pt>
                <c:pt idx="75">
                  <c:v>187.07180020811654</c:v>
                </c:pt>
                <c:pt idx="76">
                  <c:v>184.61032915274654</c:v>
                </c:pt>
                <c:pt idx="77">
                  <c:v>182.21279241050308</c:v>
                </c:pt>
                <c:pt idx="78">
                  <c:v>179.87673096934279</c:v>
                </c:pt>
                <c:pt idx="79">
                  <c:v>177.59981032416127</c:v>
                </c:pt>
                <c:pt idx="80">
                  <c:v>175.37981269510925</c:v>
                </c:pt>
                <c:pt idx="81">
                  <c:v>173.21462982233007</c:v>
                </c:pt>
                <c:pt idx="82">
                  <c:v>171.10225628791147</c:v>
                </c:pt>
                <c:pt idx="83">
                  <c:v>169.04078332058725</c:v>
                </c:pt>
                <c:pt idx="84">
                  <c:v>167.02839304296117</c:v>
                </c:pt>
                <c:pt idx="85">
                  <c:v>165.06335312480871</c:v>
                </c:pt>
                <c:pt idx="86">
                  <c:v>163.14401180940393</c:v>
                </c:pt>
                <c:pt idx="87">
                  <c:v>161.26879328285909</c:v>
                </c:pt>
                <c:pt idx="88">
                  <c:v>159.43619335919018</c:v>
                </c:pt>
                <c:pt idx="89">
                  <c:v>157.64477545627796</c:v>
                </c:pt>
                <c:pt idx="90">
                  <c:v>155.89316684009711</c:v>
                </c:pt>
                <c:pt idx="91">
                  <c:v>154.18005511657952</c:v>
                </c:pt>
                <c:pt idx="92">
                  <c:v>152.5041849522689</c:v>
                </c:pt>
                <c:pt idx="93">
                  <c:v>151.21080883708197</c:v>
                </c:pt>
                <c:pt idx="94">
                  <c:v>150.0914523607965</c:v>
                </c:pt>
                <c:pt idx="95">
                  <c:v>148.97609721456331</c:v>
                </c:pt>
                <c:pt idx="96">
                  <c:v>147.86480270898781</c:v>
                </c:pt>
                <c:pt idx="97">
                  <c:v>146.75762872401879</c:v>
                </c:pt>
                <c:pt idx="98">
                  <c:v>145.65463569302193</c:v>
                </c:pt>
                <c:pt idx="99">
                  <c:v>144.55588458551486</c:v>
                </c:pt>
                <c:pt idx="100">
                  <c:v>143.46143688852348</c:v>
                </c:pt>
              </c:numCache>
            </c:numRef>
          </c:val>
          <c:smooth val="0"/>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347.34824116539556</c:v>
                </c:pt>
                <c:pt idx="80">
                  <c:v>343.00638815082817</c:v>
                </c:pt>
                <c:pt idx="81">
                  <c:v>338.77174138353394</c:v>
                </c:pt>
                <c:pt idx="82">
                  <c:v>334.64037868373487</c:v>
                </c:pt>
                <c:pt idx="83">
                  <c:v>330.60856689236454</c:v>
                </c:pt>
                <c:pt idx="84">
                  <c:v>326.67275061983628</c:v>
                </c:pt>
                <c:pt idx="85">
                  <c:v>322.82954178901474</c:v>
                </c:pt>
                <c:pt idx="86">
                  <c:v>319.07570990774718</c:v>
                </c:pt>
                <c:pt idx="87">
                  <c:v>315.40817301225582</c:v>
                </c:pt>
                <c:pt idx="88">
                  <c:v>311.8239892280256</c:v>
                </c:pt>
                <c:pt idx="89">
                  <c:v>308.32034889962085</c:v>
                </c:pt>
                <c:pt idx="90">
                  <c:v>304.89456724518067</c:v>
                </c:pt>
                <c:pt idx="91">
                  <c:v>301.54407749523358</c:v>
                </c:pt>
                <c:pt idx="92">
                  <c:v>298.26642447898098</c:v>
                </c:pt>
                <c:pt idx="93">
                  <c:v>295.05925862436834</c:v>
                </c:pt>
                <c:pt idx="94">
                  <c:v>291.92033034113041</c:v>
                </c:pt>
                <c:pt idx="95">
                  <c:v>288.8474847585922</c:v>
                </c:pt>
                <c:pt idx="96">
                  <c:v>285.83865679235686</c:v>
                </c:pt>
                <c:pt idx="97">
                  <c:v>282.89186651614693</c:v>
                </c:pt>
                <c:pt idx="98">
                  <c:v>280.00521481700258</c:v>
                </c:pt>
                <c:pt idx="99">
                  <c:v>277.17687931380055</c:v>
                </c:pt>
                <c:pt idx="100">
                  <c:v>274.40511052066256</c:v>
                </c:pt>
              </c:numCache>
            </c:numRef>
          </c:val>
          <c:smooth val="0"/>
        </c:ser>
        <c:ser>
          <c:idx val="2"/>
          <c:order val="2"/>
          <c:tx>
            <c:v>VIN-max</c:v>
          </c:tx>
          <c:spPr>
            <a:ln>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Single'!$CD$110:$CD$210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184.61032915274654</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Single'!$CD$5:$CD$105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Single'!$CD$216:$CD$316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152361600"/>
        <c:axId val="152380544"/>
      </c:lineChart>
      <c:catAx>
        <c:axId val="152361600"/>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2380544"/>
        <c:crosses val="autoZero"/>
        <c:auto val="1"/>
        <c:lblAlgn val="ctr"/>
        <c:lblOffset val="100"/>
        <c:tickLblSkip val="20"/>
        <c:tickMarkSkip val="10"/>
        <c:noMultiLvlLbl val="0"/>
      </c:catAx>
      <c:valAx>
        <c:axId val="152380544"/>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2361600"/>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14682981090100111"/>
          <c:y val="0.67041751876868938"/>
          <c:w val="0.13753070632578046"/>
          <c:h val="0.1749683688186130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340.29553760874938</c:v>
                </c:pt>
                <c:pt idx="32">
                  <c:v>329.661302058476</c:v>
                </c:pt>
                <c:pt idx="33">
                  <c:v>319.67156563246152</c:v>
                </c:pt>
                <c:pt idx="34">
                  <c:v>310.26946076091861</c:v>
                </c:pt>
                <c:pt idx="35">
                  <c:v>301.40461902489238</c:v>
                </c:pt>
                <c:pt idx="36">
                  <c:v>293.03226849642317</c:v>
                </c:pt>
                <c:pt idx="37">
                  <c:v>285.11247745597922</c:v>
                </c:pt>
                <c:pt idx="38">
                  <c:v>277.60951752292709</c:v>
                </c:pt>
                <c:pt idx="39">
                  <c:v>270.49132476592899</c:v>
                </c:pt>
                <c:pt idx="40">
                  <c:v>263.72904164678079</c:v>
                </c:pt>
                <c:pt idx="41">
                  <c:v>257.29662599685929</c:v>
                </c:pt>
                <c:pt idx="42">
                  <c:v>251.17051585407697</c:v>
                </c:pt>
                <c:pt idx="43">
                  <c:v>245.32934106677288</c:v>
                </c:pt>
                <c:pt idx="44">
                  <c:v>239.75367422434616</c:v>
                </c:pt>
                <c:pt idx="45">
                  <c:v>234.42581479713851</c:v>
                </c:pt>
                <c:pt idx="46">
                  <c:v>229.32960143198329</c:v>
                </c:pt>
                <c:pt idx="47">
                  <c:v>224.45024821002625</c:v>
                </c:pt>
                <c:pt idx="48">
                  <c:v>219.77420137231732</c:v>
                </c:pt>
                <c:pt idx="49">
                  <c:v>215.28901358920882</c:v>
                </c:pt>
                <c:pt idx="50">
                  <c:v>210.98323331742461</c:v>
                </c:pt>
                <c:pt idx="51">
                  <c:v>206.84630717394575</c:v>
                </c:pt>
                <c:pt idx="52">
                  <c:v>202.86849357444675</c:v>
                </c:pt>
                <c:pt idx="53">
                  <c:v>199.0407861485138</c:v>
                </c:pt>
                <c:pt idx="54">
                  <c:v>195.35484566428207</c:v>
                </c:pt>
                <c:pt idx="55">
                  <c:v>191.80293937947692</c:v>
                </c:pt>
                <c:pt idx="56">
                  <c:v>188.3778868905577</c:v>
                </c:pt>
                <c:pt idx="57">
                  <c:v>185.07301168195147</c:v>
                </c:pt>
                <c:pt idx="58">
                  <c:v>181.88209768743505</c:v>
                </c:pt>
                <c:pt idx="59">
                  <c:v>178.79935026900392</c:v>
                </c:pt>
                <c:pt idx="60">
                  <c:v>175.81936109785386</c:v>
                </c:pt>
                <c:pt idx="61">
                  <c:v>172.93707648969232</c:v>
                </c:pt>
                <c:pt idx="62">
                  <c:v>170.14776880437469</c:v>
                </c:pt>
                <c:pt idx="63">
                  <c:v>167.44701056938464</c:v>
                </c:pt>
                <c:pt idx="64">
                  <c:v>164.830651029238</c:v>
                </c:pt>
                <c:pt idx="65">
                  <c:v>162.29479485955744</c:v>
                </c:pt>
                <c:pt idx="66">
                  <c:v>159.83578281623076</c:v>
                </c:pt>
                <c:pt idx="67">
                  <c:v>157.45017411748108</c:v>
                </c:pt>
                <c:pt idx="68">
                  <c:v>155.1347303804593</c:v>
                </c:pt>
                <c:pt idx="69">
                  <c:v>152.88640095465553</c:v>
                </c:pt>
                <c:pt idx="70">
                  <c:v>151.45408553743735</c:v>
                </c:pt>
                <c:pt idx="71">
                  <c:v>150.57843810799054</c:v>
                </c:pt>
                <c:pt idx="72">
                  <c:v>149.71425836149973</c:v>
                </c:pt>
                <c:pt idx="73">
                  <c:v>148.86132248832078</c:v>
                </c:pt>
                <c:pt idx="74">
                  <c:v>148.0194124651569</c:v>
                </c:pt>
                <c:pt idx="75">
                  <c:v>147.18831586925987</c:v>
                </c:pt>
                <c:pt idx="76">
                  <c:v>146.36782569974534</c:v>
                </c:pt>
                <c:pt idx="77">
                  <c:v>145.55774020570536</c:v>
                </c:pt>
                <c:pt idx="78">
                  <c:v>144.75786272081899</c:v>
                </c:pt>
                <c:pt idx="79">
                  <c:v>143.96800150417624</c:v>
                </c:pt>
                <c:pt idx="80">
                  <c:v>143.18796958704417</c:v>
                </c:pt>
                <c:pt idx="81">
                  <c:v>142.41758462531874</c:v>
                </c:pt>
                <c:pt idx="82">
                  <c:v>141.65666875741698</c:v>
                </c:pt>
                <c:pt idx="83">
                  <c:v>140.90504846737741</c:v>
                </c:pt>
                <c:pt idx="84">
                  <c:v>140.16255445294743</c:v>
                </c:pt>
                <c:pt idx="85">
                  <c:v>139.42902149844628</c:v>
                </c:pt>
                <c:pt idx="86">
                  <c:v>138.70428835220423</c:v>
                </c:pt>
                <c:pt idx="87">
                  <c:v>137.98819760838578</c:v>
                </c:pt>
                <c:pt idx="88">
                  <c:v>137.28059559301607</c:v>
                </c:pt>
                <c:pt idx="89">
                  <c:v>136.58133225403631</c:v>
                </c:pt>
                <c:pt idx="90">
                  <c:v>135.89026105522333</c:v>
                </c:pt>
                <c:pt idx="91">
                  <c:v>135.2072388738159</c:v>
                </c:pt>
                <c:pt idx="92">
                  <c:v>134.53212590169724</c:v>
                </c:pt>
                <c:pt idx="93">
                  <c:v>133.86478554999098</c:v>
                </c:pt>
                <c:pt idx="94">
                  <c:v>133.2050843569329</c:v>
                </c:pt>
                <c:pt idx="95">
                  <c:v>132.55289189888884</c:v>
                </c:pt>
                <c:pt idx="96">
                  <c:v>131.90808070439388</c:v>
                </c:pt>
                <c:pt idx="97">
                  <c:v>131.27052617109331</c:v>
                </c:pt>
                <c:pt idx="98">
                  <c:v>130.64010648547253</c:v>
                </c:pt>
                <c:pt idx="99">
                  <c:v>130.01670254526675</c:v>
                </c:pt>
                <c:pt idx="100">
                  <c:v>129.40019788444673</c:v>
                </c:pt>
              </c:numCache>
            </c:numRef>
          </c:val>
          <c:smooth val="0"/>
        </c:ser>
        <c:ser>
          <c:idx val="10"/>
          <c:order val="10"/>
          <c:tx>
            <c:v>VIN-nom</c:v>
          </c:tx>
          <c:spPr>
            <a:ln w="28575">
              <a:solidFill>
                <a:srgbClr val="0000FF"/>
              </a:solidFill>
              <a:prstDash val="lgDash"/>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349.69429147529314</c:v>
                </c:pt>
                <c:pt idx="60">
                  <c:v>343.86605328403829</c:v>
                </c:pt>
                <c:pt idx="61">
                  <c:v>338.22890486954583</c:v>
                </c:pt>
                <c:pt idx="62">
                  <c:v>332.77359995229506</c:v>
                </c:pt>
                <c:pt idx="63">
                  <c:v>327.49147931813172</c:v>
                </c:pt>
                <c:pt idx="64">
                  <c:v>322.37442495378588</c:v>
                </c:pt>
                <c:pt idx="65">
                  <c:v>317.41481841603536</c:v>
                </c:pt>
                <c:pt idx="66">
                  <c:v>312.6055029854893</c:v>
                </c:pt>
                <c:pt idx="67">
                  <c:v>307.93974920958658</c:v>
                </c:pt>
                <c:pt idx="68">
                  <c:v>303.41122348591614</c:v>
                </c:pt>
                <c:pt idx="69">
                  <c:v>299.01395937742461</c:v>
                </c:pt>
                <c:pt idx="70">
                  <c:v>294.74233138631854</c:v>
                </c:pt>
                <c:pt idx="71">
                  <c:v>290.59103094425768</c:v>
                </c:pt>
                <c:pt idx="72">
                  <c:v>286.55504440336529</c:v>
                </c:pt>
                <c:pt idx="73">
                  <c:v>282.62963283619587</c:v>
                </c:pt>
                <c:pt idx="74">
                  <c:v>278.81031347354451</c:v>
                </c:pt>
                <c:pt idx="75">
                  <c:v>275.0928426272306</c:v>
                </c:pt>
                <c:pt idx="76">
                  <c:v>271.4731999610828</c:v>
                </c:pt>
                <c:pt idx="77">
                  <c:v>267.94757398756224</c:v>
                </c:pt>
                <c:pt idx="78">
                  <c:v>264.51234868002945</c:v>
                </c:pt>
                <c:pt idx="79">
                  <c:v>261.16409110180126</c:v>
                </c:pt>
                <c:pt idx="80">
                  <c:v>257.89953996302864</c:v>
                </c:pt>
                <c:pt idx="81">
                  <c:v>254.7155950252135</c:v>
                </c:pt>
                <c:pt idx="82">
                  <c:v>251.60930728100362</c:v>
                </c:pt>
                <c:pt idx="83">
                  <c:v>248.57786984388321</c:v>
                </c:pt>
                <c:pt idx="84">
                  <c:v>245.61860948859876</c:v>
                </c:pt>
                <c:pt idx="85">
                  <c:v>242.72897878873292</c:v>
                </c:pt>
                <c:pt idx="86">
                  <c:v>239.90654880281741</c:v>
                </c:pt>
                <c:pt idx="87">
                  <c:v>237.14900226485403</c:v>
                </c:pt>
                <c:pt idx="88">
                  <c:v>234.45412723911704</c:v>
                </c:pt>
                <c:pt idx="89">
                  <c:v>231.81981120272246</c:v>
                </c:pt>
                <c:pt idx="90">
                  <c:v>229.2440355226922</c:v>
                </c:pt>
                <c:pt idx="91">
                  <c:v>226.72487029716811</c:v>
                </c:pt>
                <c:pt idx="92">
                  <c:v>224.26046953306843</c:v>
                </c:pt>
                <c:pt idx="93">
                  <c:v>221.84906663486339</c:v>
                </c:pt>
                <c:pt idx="94">
                  <c:v>219.48897018130106</c:v>
                </c:pt>
                <c:pt idx="95">
                  <c:v>217.17855996886627</c:v>
                </c:pt>
                <c:pt idx="96">
                  <c:v>214.91628330252394</c:v>
                </c:pt>
                <c:pt idx="97">
                  <c:v>212.70065151590001</c:v>
                </c:pt>
                <c:pt idx="98">
                  <c:v>211.39176243910754</c:v>
                </c:pt>
                <c:pt idx="99">
                  <c:v>210.17183418471973</c:v>
                </c:pt>
                <c:pt idx="100">
                  <c:v>208.96730126135304</c:v>
                </c:pt>
              </c:numCache>
            </c:numRef>
          </c:val>
          <c:smooth val="0"/>
        </c:ser>
        <c:ser>
          <c:idx val="11"/>
          <c:order val="11"/>
          <c:tx>
            <c:v>VIN-max</c:v>
          </c:tx>
          <c:spPr>
            <a:ln>
              <a:solidFill>
                <a:srgbClr val="FF0000"/>
              </a:solidFill>
              <a:prstDash val="solid"/>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349.74925130114821</c:v>
                </c:pt>
                <c:pt idx="93">
                  <c:v>345.98850666350137</c:v>
                </c:pt>
                <c:pt idx="94">
                  <c:v>342.30777786920879</c:v>
                </c:pt>
                <c:pt idx="95">
                  <c:v>338.70453810216458</c:v>
                </c:pt>
                <c:pt idx="96">
                  <c:v>335.17636583026706</c:v>
                </c:pt>
                <c:pt idx="97">
                  <c:v>331.7209393784085</c:v>
                </c:pt>
                <c:pt idx="98">
                  <c:v>328.33603183373089</c:v>
                </c:pt>
                <c:pt idx="99">
                  <c:v>325.01950625965281</c:v>
                </c:pt>
                <c:pt idx="100">
                  <c:v>321.76931119705631</c:v>
                </c:pt>
              </c:numCache>
            </c:numRef>
          </c:val>
          <c:smooth val="0"/>
        </c:ser>
        <c:ser>
          <c:idx val="12"/>
          <c:order val="12"/>
          <c:spPr>
            <a:ln>
              <a:noFill/>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Dual'!$CD$110:$CD$210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185.07301168195147</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13"/>
          <c:order val="13"/>
          <c:spPr>
            <a:ln>
              <a:noFill/>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Dual'!$CD$5:$CD$105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14"/>
          <c:order val="14"/>
          <c:spPr>
            <a:ln>
              <a:noFill/>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Dual'!$CD$216:$CD$316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15"/>
          <c:order val="15"/>
          <c:tx>
            <c:v>D1</c:v>
          </c:tx>
          <c:spPr>
            <a:ln w="25400">
              <a:solidFill>
                <a:srgbClr val="0000FF"/>
              </a:solidFill>
              <a:prstDash val="lgDash"/>
            </a:ln>
          </c:spPr>
          <c:marker>
            <c:symbol val="none"/>
          </c:marker>
          <c:val>
            <c:numRef>
              <c:f>'Calculations - Dual'!$AU$5:$AU$105</c:f>
              <c:numCache>
                <c:formatCode>0.000</c:formatCode>
                <c:ptCount val="101"/>
                <c:pt idx="0">
                  <c:v>3.7499999999999999E-3</c:v>
                </c:pt>
                <c:pt idx="1">
                  <c:v>1.472222222222222E-2</c:v>
                </c:pt>
                <c:pt idx="2">
                  <c:v>2.944444444444444E-2</c:v>
                </c:pt>
                <c:pt idx="3">
                  <c:v>4.4166666666666653E-2</c:v>
                </c:pt>
                <c:pt idx="4">
                  <c:v>5.888888888888888E-2</c:v>
                </c:pt>
                <c:pt idx="5">
                  <c:v>7.3611111111111099E-2</c:v>
                </c:pt>
                <c:pt idx="6">
                  <c:v>8.8333333333333305E-2</c:v>
                </c:pt>
                <c:pt idx="7">
                  <c:v>0.10305555555555554</c:v>
                </c:pt>
                <c:pt idx="8">
                  <c:v>0.12497359574807033</c:v>
                </c:pt>
                <c:pt idx="9">
                  <c:v>0.14771700139117366</c:v>
                </c:pt>
                <c:pt idx="10">
                  <c:v>0.15570739117545662</c:v>
                </c:pt>
                <c:pt idx="11">
                  <c:v>0.16330728959030985</c:v>
                </c:pt>
                <c:pt idx="12">
                  <c:v>0.17056890103415687</c:v>
                </c:pt>
                <c:pt idx="13">
                  <c:v>0.17753374092455401</c:v>
                </c:pt>
                <c:pt idx="14">
                  <c:v>0.18423546980246053</c:v>
                </c:pt>
                <c:pt idx="15">
                  <c:v>0.19070182877990444</c:v>
                </c:pt>
                <c:pt idx="16">
                  <c:v>0.19695600185489823</c:v>
                </c:pt>
                <c:pt idx="17">
                  <c:v>0.20301759981177331</c:v>
                </c:pt>
                <c:pt idx="18">
                  <c:v>0.20890338676048312</c:v>
                </c:pt>
                <c:pt idx="19">
                  <c:v>0.2146278271023277</c:v>
                </c:pt>
                <c:pt idx="20">
                  <c:v>0.22020350436206351</c:v>
                </c:pt>
                <c:pt idx="21">
                  <c:v>0.22564144676898348</c:v>
                </c:pt>
                <c:pt idx="22">
                  <c:v>0.23095138377300678</c:v>
                </c:pt>
                <c:pt idx="23">
                  <c:v>0.2361419506003398</c:v>
                </c:pt>
                <c:pt idx="24">
                  <c:v>0.2412208531615789</c:v>
                </c:pt>
                <c:pt idx="25">
                  <c:v>0.24619500231862276</c:v>
                </c:pt>
                <c:pt idx="26">
                  <c:v>0.25107062419433568</c:v>
                </c:pt>
                <c:pt idx="27">
                  <c:v>0.25585335155123529</c:v>
                </c:pt>
                <c:pt idx="28">
                  <c:v>0.26054830006481844</c:v>
                </c:pt>
                <c:pt idx="29">
                  <c:v>0.26516013243572895</c:v>
                </c:pt>
                <c:pt idx="30">
                  <c:v>0.26969311262989271</c:v>
                </c:pt>
                <c:pt idx="31">
                  <c:v>0.27415115204329649</c:v>
                </c:pt>
                <c:pt idx="32">
                  <c:v>0.27853784901397755</c:v>
                </c:pt>
                <c:pt idx="33">
                  <c:v>0.28285652281678075</c:v>
                </c:pt>
                <c:pt idx="34">
                  <c:v>0.28711024305424337</c:v>
                </c:pt>
                <c:pt idx="35">
                  <c:v>0.2913018551834734</c:v>
                </c:pt>
                <c:pt idx="36">
                  <c:v>0.29543400278234733</c:v>
                </c:pt>
                <c:pt idx="37">
                  <c:v>0.29950914705008036</c:v>
                </c:pt>
                <c:pt idx="38">
                  <c:v>0.30352958395077956</c:v>
                </c:pt>
                <c:pt idx="39">
                  <c:v>0.30749745933909767</c:v>
                </c:pt>
                <c:pt idx="40">
                  <c:v>0.31141478235091324</c:v>
                </c:pt>
                <c:pt idx="41">
                  <c:v>0.31528343729624198</c:v>
                </c:pt>
                <c:pt idx="42">
                  <c:v>0.31910519425418327</c:v>
                </c:pt>
                <c:pt idx="43">
                  <c:v>0.32288171853895148</c:v>
                </c:pt>
                <c:pt idx="44">
                  <c:v>0.3266145791806197</c:v>
                </c:pt>
                <c:pt idx="45">
                  <c:v>0.33030525654309528</c:v>
                </c:pt>
                <c:pt idx="46">
                  <c:v>0.33395514918423802</c:v>
                </c:pt>
                <c:pt idx="47">
                  <c:v>0.33756558004828235</c:v>
                </c:pt>
                <c:pt idx="48">
                  <c:v>0.34113780206831373</c:v>
                </c:pt>
                <c:pt idx="49">
                  <c:v>0.34467300324607186</c:v>
                </c:pt>
                <c:pt idx="50">
                  <c:v>0.34817231126747189</c:v>
                </c:pt>
                <c:pt idx="51">
                  <c:v>0.3516367977046771</c:v>
                </c:pt>
                <c:pt idx="52">
                  <c:v>0.35506748184910802</c:v>
                </c:pt>
                <c:pt idx="53">
                  <c:v>0.35846533421424909</c:v>
                </c:pt>
                <c:pt idx="54">
                  <c:v>0.36183127974236834</c:v>
                </c:pt>
                <c:pt idx="55">
                  <c:v>0.36516620074517664</c:v>
                </c:pt>
                <c:pt idx="56">
                  <c:v>0.36847093960492106</c:v>
                </c:pt>
                <c:pt idx="57">
                  <c:v>0.37174630125934005</c:v>
                </c:pt>
                <c:pt idx="58">
                  <c:v>0.37499305549125395</c:v>
                </c:pt>
                <c:pt idx="59">
                  <c:v>0.37788158871577882</c:v>
                </c:pt>
                <c:pt idx="60">
                  <c:v>0.37471934409482383</c:v>
                </c:pt>
                <c:pt idx="61">
                  <c:v>0.37163518181959965</c:v>
                </c:pt>
                <c:pt idx="62">
                  <c:v>0.36862594053810371</c:v>
                </c:pt>
                <c:pt idx="63">
                  <c:v>0.36568863523736517</c:v>
                </c:pt>
                <c:pt idx="64">
                  <c:v>0.36282044479525483</c:v>
                </c:pt>
                <c:pt idx="65">
                  <c:v>0.36001870058974389</c:v>
                </c:pt>
                <c:pt idx="66">
                  <c:v>0.35728087606106074</c:v>
                </c:pt>
                <c:pt idx="67">
                  <c:v>0.35460457713395044</c:v>
                </c:pt>
                <c:pt idx="68">
                  <c:v>0.35198753341750993</c:v>
                </c:pt>
                <c:pt idx="69">
                  <c:v>0.34942759010907987</c:v>
                </c:pt>
                <c:pt idx="70">
                  <c:v>0.34692270053657487</c:v>
                </c:pt>
                <c:pt idx="71">
                  <c:v>0.34447091928059514</c:v>
                </c:pt>
                <c:pt idx="72">
                  <c:v>0.34207039582379217</c:v>
                </c:pt>
                <c:pt idx="73">
                  <c:v>0.33971936868037594</c:v>
                </c:pt>
                <c:pt idx="74">
                  <c:v>0.33741615996344482</c:v>
                </c:pt>
                <c:pt idx="75">
                  <c:v>0.33515917035206422</c:v>
                </c:pt>
                <c:pt idx="76">
                  <c:v>0.33294687442378812</c:v>
                </c:pt>
                <c:pt idx="77">
                  <c:v>0.33077781632167585</c:v>
                </c:pt>
                <c:pt idx="78">
                  <c:v>0.32865060572783533</c:v>
                </c:pt>
                <c:pt idx="79">
                  <c:v>0.32656391411819174</c:v>
                </c:pt>
                <c:pt idx="80">
                  <c:v>0.32451647127555977</c:v>
                </c:pt>
                <c:pt idx="81">
                  <c:v>0.3225070620402265</c:v>
                </c:pt>
                <c:pt idx="82">
                  <c:v>0.32053452327915694</c:v>
                </c:pt>
                <c:pt idx="83">
                  <c:v>0.39849624060150379</c:v>
                </c:pt>
                <c:pt idx="84">
                  <c:v>0.39849624060150374</c:v>
                </c:pt>
                <c:pt idx="85">
                  <c:v>0.39849624060150379</c:v>
                </c:pt>
                <c:pt idx="86">
                  <c:v>0.39849624060150368</c:v>
                </c:pt>
                <c:pt idx="87">
                  <c:v>0.39849624060150374</c:v>
                </c:pt>
                <c:pt idx="88">
                  <c:v>0.39849624060150379</c:v>
                </c:pt>
                <c:pt idx="89">
                  <c:v>0.39849624060150374</c:v>
                </c:pt>
                <c:pt idx="90">
                  <c:v>0.39849624060150374</c:v>
                </c:pt>
                <c:pt idx="91">
                  <c:v>0.39849624060150374</c:v>
                </c:pt>
                <c:pt idx="92">
                  <c:v>0.39849624060150368</c:v>
                </c:pt>
                <c:pt idx="93">
                  <c:v>0.39849624060150368</c:v>
                </c:pt>
                <c:pt idx="94">
                  <c:v>0.39849624060150374</c:v>
                </c:pt>
                <c:pt idx="95">
                  <c:v>0.39849624060150368</c:v>
                </c:pt>
                <c:pt idx="96">
                  <c:v>0.39849624060150368</c:v>
                </c:pt>
                <c:pt idx="97">
                  <c:v>0.39849624060150379</c:v>
                </c:pt>
                <c:pt idx="98">
                  <c:v>0.39635955457332661</c:v>
                </c:pt>
                <c:pt idx="99">
                  <c:v>0.3940721890963495</c:v>
                </c:pt>
                <c:pt idx="100">
                  <c:v>0.3918136898650369</c:v>
                </c:pt>
              </c:numCache>
            </c:numRef>
          </c:val>
          <c:smooth val="0"/>
        </c:ser>
        <c:ser>
          <c:idx val="16"/>
          <c:order val="16"/>
          <c:spPr>
            <a:ln w="25400">
              <a:solidFill>
                <a:srgbClr val="00B050"/>
              </a:solidFill>
              <a:prstDash val="dash"/>
            </a:ln>
          </c:spPr>
          <c:marker>
            <c:symbol val="none"/>
          </c:marker>
          <c:val>
            <c:numRef>
              <c:f>'Calculations - Dual'!$AU$110:$AU$210</c:f>
              <c:numCache>
                <c:formatCode>0.000</c:formatCode>
                <c:ptCount val="101"/>
                <c:pt idx="0">
                  <c:v>7.4999999999999997E-3</c:v>
                </c:pt>
                <c:pt idx="1">
                  <c:v>2.944444444444444E-2</c:v>
                </c:pt>
                <c:pt idx="2">
                  <c:v>5.888888888888888E-2</c:v>
                </c:pt>
                <c:pt idx="3">
                  <c:v>8.8333333333333305E-2</c:v>
                </c:pt>
                <c:pt idx="4">
                  <c:v>0.11777777777777776</c:v>
                </c:pt>
                <c:pt idx="5">
                  <c:v>0.1472222222222222</c:v>
                </c:pt>
                <c:pt idx="6">
                  <c:v>0.17666666666666661</c:v>
                </c:pt>
                <c:pt idx="7">
                  <c:v>0.20611111111111108</c:v>
                </c:pt>
                <c:pt idx="8">
                  <c:v>0.24994719149614067</c:v>
                </c:pt>
                <c:pt idx="9">
                  <c:v>0.29543400278234733</c:v>
                </c:pt>
                <c:pt idx="10">
                  <c:v>0.31141478235091324</c:v>
                </c:pt>
                <c:pt idx="11">
                  <c:v>0.3266145791806197</c:v>
                </c:pt>
                <c:pt idx="12">
                  <c:v>0.34113780206831373</c:v>
                </c:pt>
                <c:pt idx="13">
                  <c:v>0.35506748184910802</c:v>
                </c:pt>
                <c:pt idx="14">
                  <c:v>0.36847093960492106</c:v>
                </c:pt>
                <c:pt idx="15">
                  <c:v>0.38140365755980887</c:v>
                </c:pt>
                <c:pt idx="16">
                  <c:v>0.39391200370979645</c:v>
                </c:pt>
                <c:pt idx="17">
                  <c:v>0.40603519962354662</c:v>
                </c:pt>
                <c:pt idx="18">
                  <c:v>0.41780677352096623</c:v>
                </c:pt>
                <c:pt idx="19">
                  <c:v>0.42925565420465539</c:v>
                </c:pt>
                <c:pt idx="20">
                  <c:v>0.44040700872412702</c:v>
                </c:pt>
                <c:pt idx="21">
                  <c:v>0.45128289353796697</c:v>
                </c:pt>
                <c:pt idx="22">
                  <c:v>0.46190276754601356</c:v>
                </c:pt>
                <c:pt idx="23">
                  <c:v>0.47228390120067959</c:v>
                </c:pt>
                <c:pt idx="24">
                  <c:v>0.4824417063231578</c:v>
                </c:pt>
                <c:pt idx="25">
                  <c:v>0.49239000463724553</c:v>
                </c:pt>
                <c:pt idx="26">
                  <c:v>0.50214124838867136</c:v>
                </c:pt>
                <c:pt idx="27">
                  <c:v>0.51170670310247057</c:v>
                </c:pt>
                <c:pt idx="28">
                  <c:v>0.52109660012963688</c:v>
                </c:pt>
                <c:pt idx="29">
                  <c:v>0.53032026487145789</c:v>
                </c:pt>
                <c:pt idx="30">
                  <c:v>0.53938622525978541</c:v>
                </c:pt>
                <c:pt idx="31">
                  <c:v>0.53309950668932327</c:v>
                </c:pt>
                <c:pt idx="32">
                  <c:v>0.56989247311827951</c:v>
                </c:pt>
                <c:pt idx="33">
                  <c:v>0.56989247311827951</c:v>
                </c:pt>
                <c:pt idx="34">
                  <c:v>0.56989247311827951</c:v>
                </c:pt>
                <c:pt idx="35">
                  <c:v>0.56989247311827951</c:v>
                </c:pt>
                <c:pt idx="36">
                  <c:v>0.56989247311827951</c:v>
                </c:pt>
                <c:pt idx="37">
                  <c:v>0.56989247311827962</c:v>
                </c:pt>
                <c:pt idx="38">
                  <c:v>0.56989247311827951</c:v>
                </c:pt>
                <c:pt idx="39">
                  <c:v>0.56989247311827951</c:v>
                </c:pt>
                <c:pt idx="40">
                  <c:v>0.56989247311827951</c:v>
                </c:pt>
                <c:pt idx="41">
                  <c:v>0.56989247311827951</c:v>
                </c:pt>
                <c:pt idx="42">
                  <c:v>0.56989247311827951</c:v>
                </c:pt>
                <c:pt idx="43">
                  <c:v>0.56989247311827962</c:v>
                </c:pt>
                <c:pt idx="44">
                  <c:v>0.56989247311827951</c:v>
                </c:pt>
                <c:pt idx="45">
                  <c:v>0.56989247311827962</c:v>
                </c:pt>
                <c:pt idx="46">
                  <c:v>0.56989247311827962</c:v>
                </c:pt>
                <c:pt idx="47">
                  <c:v>0.56989247311827951</c:v>
                </c:pt>
                <c:pt idx="48">
                  <c:v>0.56989247311827951</c:v>
                </c:pt>
                <c:pt idx="49">
                  <c:v>0.56989247311827962</c:v>
                </c:pt>
                <c:pt idx="50">
                  <c:v>0.56989247311827962</c:v>
                </c:pt>
                <c:pt idx="51">
                  <c:v>0.56989247311827951</c:v>
                </c:pt>
                <c:pt idx="52">
                  <c:v>0.56989247311827962</c:v>
                </c:pt>
                <c:pt idx="53">
                  <c:v>0.5698924731182794</c:v>
                </c:pt>
                <c:pt idx="54">
                  <c:v>0.56989247311827951</c:v>
                </c:pt>
                <c:pt idx="55">
                  <c:v>0.56989247311827951</c:v>
                </c:pt>
                <c:pt idx="56">
                  <c:v>0.56989247311827951</c:v>
                </c:pt>
                <c:pt idx="57">
                  <c:v>0.56989247311827962</c:v>
                </c:pt>
                <c:pt idx="58">
                  <c:v>0.56989247311827962</c:v>
                </c:pt>
                <c:pt idx="59">
                  <c:v>0.56989247311827951</c:v>
                </c:pt>
                <c:pt idx="60">
                  <c:v>0.56989247311827951</c:v>
                </c:pt>
                <c:pt idx="61">
                  <c:v>0.56989247311827951</c:v>
                </c:pt>
                <c:pt idx="62">
                  <c:v>0.56989247311827951</c:v>
                </c:pt>
                <c:pt idx="63">
                  <c:v>0.56989247311827951</c:v>
                </c:pt>
                <c:pt idx="64">
                  <c:v>0.56989247311827951</c:v>
                </c:pt>
                <c:pt idx="65">
                  <c:v>0.56989247311827962</c:v>
                </c:pt>
                <c:pt idx="66">
                  <c:v>0.56989247311827951</c:v>
                </c:pt>
                <c:pt idx="67">
                  <c:v>0.56989247311827962</c:v>
                </c:pt>
                <c:pt idx="68">
                  <c:v>0.56989247311827951</c:v>
                </c:pt>
                <c:pt idx="69">
                  <c:v>0.56989247311827951</c:v>
                </c:pt>
                <c:pt idx="70">
                  <c:v>0.56795282076539</c:v>
                </c:pt>
                <c:pt idx="71">
                  <c:v>0.56466914290496451</c:v>
                </c:pt>
                <c:pt idx="72">
                  <c:v>0.56142846885562403</c:v>
                </c:pt>
                <c:pt idx="73">
                  <c:v>0.5582299593312029</c:v>
                </c:pt>
                <c:pt idx="74">
                  <c:v>0.5550727967443384</c:v>
                </c:pt>
                <c:pt idx="75">
                  <c:v>0.5519561845097245</c:v>
                </c:pt>
                <c:pt idx="76">
                  <c:v>0.54887934637404501</c:v>
                </c:pt>
                <c:pt idx="77">
                  <c:v>0.54584152577139511</c:v>
                </c:pt>
                <c:pt idx="78">
                  <c:v>0.54284198520307125</c:v>
                </c:pt>
                <c:pt idx="79">
                  <c:v>0.53988000564066085</c:v>
                </c:pt>
                <c:pt idx="80">
                  <c:v>0.53695488595141561</c:v>
                </c:pt>
                <c:pt idx="81">
                  <c:v>0.53406594234494531</c:v>
                </c:pt>
                <c:pt idx="82">
                  <c:v>0.53121250784031371</c:v>
                </c:pt>
                <c:pt idx="83">
                  <c:v>0.52839393175266525</c:v>
                </c:pt>
                <c:pt idx="84">
                  <c:v>0.52560957919855289</c:v>
                </c:pt>
                <c:pt idx="85">
                  <c:v>0.52285883061917349</c:v>
                </c:pt>
                <c:pt idx="86">
                  <c:v>0.52014108132076586</c:v>
                </c:pt>
                <c:pt idx="87">
                  <c:v>0.51745574103144665</c:v>
                </c:pt>
                <c:pt idx="88">
                  <c:v>0.51480223347381027</c:v>
                </c:pt>
                <c:pt idx="89">
                  <c:v>0.51217999595263619</c:v>
                </c:pt>
                <c:pt idx="90">
                  <c:v>0.50958847895708748</c:v>
                </c:pt>
                <c:pt idx="91">
                  <c:v>0.50702714577680963</c:v>
                </c:pt>
                <c:pt idx="92">
                  <c:v>0.5044954721313647</c:v>
                </c:pt>
                <c:pt idx="93">
                  <c:v>0.50199294581246623</c:v>
                </c:pt>
                <c:pt idx="94">
                  <c:v>0.49951906633849841</c:v>
                </c:pt>
                <c:pt idx="95">
                  <c:v>0.49707334462083319</c:v>
                </c:pt>
                <c:pt idx="96">
                  <c:v>0.49465530264147706</c:v>
                </c:pt>
                <c:pt idx="97">
                  <c:v>0.49226447314159988</c:v>
                </c:pt>
                <c:pt idx="98">
                  <c:v>0.48990039932052193</c:v>
                </c:pt>
                <c:pt idx="99">
                  <c:v>0.4875626345447503</c:v>
                </c:pt>
                <c:pt idx="100">
                  <c:v>0.48525074206667523</c:v>
                </c:pt>
              </c:numCache>
            </c:numRef>
          </c:val>
          <c:smooth val="0"/>
        </c:ser>
        <c:ser>
          <c:idx val="17"/>
          <c:order val="17"/>
          <c:spPr>
            <a:ln w="25400">
              <a:solidFill>
                <a:srgbClr val="FF0000"/>
              </a:solidFill>
            </a:ln>
          </c:spPr>
          <c:marker>
            <c:symbol val="none"/>
          </c:marker>
          <c:val>
            <c:numRef>
              <c:f>'Calculations - Dual'!$AU$216:$AU$316</c:f>
              <c:numCache>
                <c:formatCode>0.000</c:formatCode>
                <c:ptCount val="101"/>
                <c:pt idx="0">
                  <c:v>1.8749999999999999E-3</c:v>
                </c:pt>
                <c:pt idx="1">
                  <c:v>7.3611111111111099E-3</c:v>
                </c:pt>
                <c:pt idx="2">
                  <c:v>1.472222222222222E-2</c:v>
                </c:pt>
                <c:pt idx="3">
                  <c:v>2.2083333333333326E-2</c:v>
                </c:pt>
                <c:pt idx="4">
                  <c:v>2.944444444444444E-2</c:v>
                </c:pt>
                <c:pt idx="5">
                  <c:v>3.680555555555555E-2</c:v>
                </c:pt>
                <c:pt idx="6">
                  <c:v>4.4166666666666653E-2</c:v>
                </c:pt>
                <c:pt idx="7">
                  <c:v>5.152777777777777E-2</c:v>
                </c:pt>
                <c:pt idx="8">
                  <c:v>6.2486797874035167E-2</c:v>
                </c:pt>
                <c:pt idx="9">
                  <c:v>7.3858500695586832E-2</c:v>
                </c:pt>
                <c:pt idx="10">
                  <c:v>7.7853695587728311E-2</c:v>
                </c:pt>
                <c:pt idx="11">
                  <c:v>8.1653644795154925E-2</c:v>
                </c:pt>
                <c:pt idx="12">
                  <c:v>8.5284450517078433E-2</c:v>
                </c:pt>
                <c:pt idx="13">
                  <c:v>8.8766870462277006E-2</c:v>
                </c:pt>
                <c:pt idx="14">
                  <c:v>9.2117734901230264E-2</c:v>
                </c:pt>
                <c:pt idx="15">
                  <c:v>9.5350914389952218E-2</c:v>
                </c:pt>
                <c:pt idx="16">
                  <c:v>9.8478000927449114E-2</c:v>
                </c:pt>
                <c:pt idx="17">
                  <c:v>0.10150879990588665</c:v>
                </c:pt>
                <c:pt idx="18">
                  <c:v>0.10445169338024156</c:v>
                </c:pt>
                <c:pt idx="19">
                  <c:v>0.10731391355116385</c:v>
                </c:pt>
                <c:pt idx="20">
                  <c:v>0.11010175218103176</c:v>
                </c:pt>
                <c:pt idx="21">
                  <c:v>0.11282072338449174</c:v>
                </c:pt>
                <c:pt idx="22">
                  <c:v>0.11547569188650339</c:v>
                </c:pt>
                <c:pt idx="23">
                  <c:v>0.1180709753001699</c:v>
                </c:pt>
                <c:pt idx="24">
                  <c:v>0.12061042658078945</c:v>
                </c:pt>
                <c:pt idx="25">
                  <c:v>0.12309750115931138</c:v>
                </c:pt>
                <c:pt idx="26">
                  <c:v>0.12553531209716784</c:v>
                </c:pt>
                <c:pt idx="27">
                  <c:v>0.12792667577561764</c:v>
                </c:pt>
                <c:pt idx="28">
                  <c:v>0.13027415003240922</c:v>
                </c:pt>
                <c:pt idx="29">
                  <c:v>0.13258006621786447</c:v>
                </c:pt>
                <c:pt idx="30">
                  <c:v>0.13484655631494635</c:v>
                </c:pt>
                <c:pt idx="31">
                  <c:v>0.13707557602164824</c:v>
                </c:pt>
                <c:pt idx="32">
                  <c:v>0.13926892450698877</c:v>
                </c:pt>
                <c:pt idx="33">
                  <c:v>0.14142826140839038</c:v>
                </c:pt>
                <c:pt idx="34">
                  <c:v>0.14355512152712169</c:v>
                </c:pt>
                <c:pt idx="35">
                  <c:v>0.1456509275917367</c:v>
                </c:pt>
                <c:pt idx="36">
                  <c:v>0.14771700139117366</c:v>
                </c:pt>
                <c:pt idx="37">
                  <c:v>0.14975457352504018</c:v>
                </c:pt>
                <c:pt idx="38">
                  <c:v>0.15176479197538978</c:v>
                </c:pt>
                <c:pt idx="39">
                  <c:v>0.15374872966954883</c:v>
                </c:pt>
                <c:pt idx="40">
                  <c:v>0.15570739117545662</c:v>
                </c:pt>
                <c:pt idx="41">
                  <c:v>0.15764171864812099</c:v>
                </c:pt>
                <c:pt idx="42">
                  <c:v>0.15955259712709163</c:v>
                </c:pt>
                <c:pt idx="43">
                  <c:v>0.16144085926947574</c:v>
                </c:pt>
                <c:pt idx="44">
                  <c:v>0.16330728959030985</c:v>
                </c:pt>
                <c:pt idx="45">
                  <c:v>0.16515262827154764</c:v>
                </c:pt>
                <c:pt idx="46">
                  <c:v>0.16697757459211901</c:v>
                </c:pt>
                <c:pt idx="47">
                  <c:v>0.16878279002414118</c:v>
                </c:pt>
                <c:pt idx="48">
                  <c:v>0.17056890103415687</c:v>
                </c:pt>
                <c:pt idx="49">
                  <c:v>0.17233650162303593</c:v>
                </c:pt>
                <c:pt idx="50">
                  <c:v>0.17408615563373595</c:v>
                </c:pt>
                <c:pt idx="51">
                  <c:v>0.17581839885233855</c:v>
                </c:pt>
                <c:pt idx="52">
                  <c:v>0.17753374092455401</c:v>
                </c:pt>
                <c:pt idx="53">
                  <c:v>0.17923266710712454</c:v>
                </c:pt>
                <c:pt idx="54">
                  <c:v>0.18091563987118417</c:v>
                </c:pt>
                <c:pt idx="55">
                  <c:v>0.18258310037258832</c:v>
                </c:pt>
                <c:pt idx="56">
                  <c:v>0.18423546980246053</c:v>
                </c:pt>
                <c:pt idx="57">
                  <c:v>0.18587315062967003</c:v>
                </c:pt>
                <c:pt idx="58">
                  <c:v>0.18749652774562697</c:v>
                </c:pt>
                <c:pt idx="59">
                  <c:v>0.18910596952061912</c:v>
                </c:pt>
                <c:pt idx="60">
                  <c:v>0.19070182877990444</c:v>
                </c:pt>
                <c:pt idx="61">
                  <c:v>0.19228444370688613</c:v>
                </c:pt>
                <c:pt idx="62">
                  <c:v>0.19385413867991919</c:v>
                </c:pt>
                <c:pt idx="63">
                  <c:v>0.19541122504861383</c:v>
                </c:pt>
                <c:pt idx="64">
                  <c:v>0.19695600185489823</c:v>
                </c:pt>
                <c:pt idx="65">
                  <c:v>0.19848875650356956</c:v>
                </c:pt>
                <c:pt idx="66">
                  <c:v>0.20000976538659307</c:v>
                </c:pt>
                <c:pt idx="67">
                  <c:v>0.20151929446498831</c:v>
                </c:pt>
                <c:pt idx="68">
                  <c:v>0.20301759981177331</c:v>
                </c:pt>
                <c:pt idx="69">
                  <c:v>0.20450492811910423</c:v>
                </c:pt>
                <c:pt idx="70">
                  <c:v>0.20598151717245566</c:v>
                </c:pt>
                <c:pt idx="71">
                  <c:v>0.20744759629442161</c:v>
                </c:pt>
                <c:pt idx="72">
                  <c:v>0.20890338676048312</c:v>
                </c:pt>
                <c:pt idx="73">
                  <c:v>0.21034910218887715</c:v>
                </c:pt>
                <c:pt idx="74">
                  <c:v>0.21178494890651064</c:v>
                </c:pt>
                <c:pt idx="75">
                  <c:v>0.21321112629269609</c:v>
                </c:pt>
                <c:pt idx="76">
                  <c:v>0.2146278271023277</c:v>
                </c:pt>
                <c:pt idx="77">
                  <c:v>0.21603523776998357</c:v>
                </c:pt>
                <c:pt idx="78">
                  <c:v>0.2174335386963106</c:v>
                </c:pt>
                <c:pt idx="79">
                  <c:v>0.21882290451793812</c:v>
                </c:pt>
                <c:pt idx="80">
                  <c:v>0.22020350436206351</c:v>
                </c:pt>
                <c:pt idx="81">
                  <c:v>0.2215755020867605</c:v>
                </c:pt>
                <c:pt idx="82">
                  <c:v>0.22293905650797638</c:v>
                </c:pt>
                <c:pt idx="83">
                  <c:v>0.22429432161410892</c:v>
                </c:pt>
                <c:pt idx="84">
                  <c:v>0.22564144676898348</c:v>
                </c:pt>
                <c:pt idx="85">
                  <c:v>0.22698057690398679</c:v>
                </c:pt>
                <c:pt idx="86">
                  <c:v>0.22831185270005874</c:v>
                </c:pt>
                <c:pt idx="87">
                  <c:v>0.22963541076018737</c:v>
                </c:pt>
                <c:pt idx="88">
                  <c:v>0.23095138377300678</c:v>
                </c:pt>
                <c:pt idx="89">
                  <c:v>0.23225990066805191</c:v>
                </c:pt>
                <c:pt idx="90">
                  <c:v>0.23356108676318496</c:v>
                </c:pt>
                <c:pt idx="91">
                  <c:v>0.23485506390467006</c:v>
                </c:pt>
                <c:pt idx="92">
                  <c:v>0.23597277263789021</c:v>
                </c:pt>
                <c:pt idx="93">
                  <c:v>0.23470067295215388</c:v>
                </c:pt>
                <c:pt idx="94">
                  <c:v>0.23344892710457446</c:v>
                </c:pt>
                <c:pt idx="95">
                  <c:v>0.23221699804572621</c:v>
                </c:pt>
                <c:pt idx="96">
                  <c:v>0.23100436835764146</c:v>
                </c:pt>
                <c:pt idx="97">
                  <c:v>0.24882629107981219</c:v>
                </c:pt>
                <c:pt idx="98">
                  <c:v>0.24882629107981219</c:v>
                </c:pt>
                <c:pt idx="99">
                  <c:v>0.24882629107981219</c:v>
                </c:pt>
                <c:pt idx="100">
                  <c:v>0.24882629107981216</c:v>
                </c:pt>
              </c:numCache>
            </c:numRef>
          </c:val>
          <c:smooth val="0"/>
        </c:ser>
        <c:ser>
          <c:idx val="1"/>
          <c:order val="0"/>
          <c:tx>
            <c:v>VIN-min</c:v>
          </c:tx>
          <c:spPr>
            <a:ln>
              <a:solidFill>
                <a:srgbClr val="00B050"/>
              </a:solidFill>
              <a:prstDash val="sysDash"/>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340.29553760874938</c:v>
                </c:pt>
                <c:pt idx="32">
                  <c:v>329.661302058476</c:v>
                </c:pt>
                <c:pt idx="33">
                  <c:v>319.67156563246152</c:v>
                </c:pt>
                <c:pt idx="34">
                  <c:v>310.26946076091861</c:v>
                </c:pt>
                <c:pt idx="35">
                  <c:v>301.40461902489238</c:v>
                </c:pt>
                <c:pt idx="36">
                  <c:v>293.03226849642317</c:v>
                </c:pt>
                <c:pt idx="37">
                  <c:v>285.11247745597922</c:v>
                </c:pt>
                <c:pt idx="38">
                  <c:v>277.60951752292709</c:v>
                </c:pt>
                <c:pt idx="39">
                  <c:v>270.49132476592899</c:v>
                </c:pt>
                <c:pt idx="40">
                  <c:v>263.72904164678079</c:v>
                </c:pt>
                <c:pt idx="41">
                  <c:v>257.29662599685929</c:v>
                </c:pt>
                <c:pt idx="42">
                  <c:v>251.17051585407697</c:v>
                </c:pt>
                <c:pt idx="43">
                  <c:v>245.32934106677288</c:v>
                </c:pt>
                <c:pt idx="44">
                  <c:v>239.75367422434616</c:v>
                </c:pt>
                <c:pt idx="45">
                  <c:v>234.42581479713851</c:v>
                </c:pt>
                <c:pt idx="46">
                  <c:v>229.32960143198329</c:v>
                </c:pt>
                <c:pt idx="47">
                  <c:v>224.45024821002625</c:v>
                </c:pt>
                <c:pt idx="48">
                  <c:v>219.77420137231732</c:v>
                </c:pt>
                <c:pt idx="49">
                  <c:v>215.28901358920882</c:v>
                </c:pt>
                <c:pt idx="50">
                  <c:v>210.98323331742461</c:v>
                </c:pt>
                <c:pt idx="51">
                  <c:v>206.84630717394575</c:v>
                </c:pt>
                <c:pt idx="52">
                  <c:v>202.86849357444675</c:v>
                </c:pt>
                <c:pt idx="53">
                  <c:v>199.0407861485138</c:v>
                </c:pt>
                <c:pt idx="54">
                  <c:v>195.35484566428207</c:v>
                </c:pt>
                <c:pt idx="55">
                  <c:v>191.80293937947692</c:v>
                </c:pt>
                <c:pt idx="56">
                  <c:v>188.3778868905577</c:v>
                </c:pt>
                <c:pt idx="57">
                  <c:v>185.07301168195147</c:v>
                </c:pt>
                <c:pt idx="58">
                  <c:v>181.88209768743505</c:v>
                </c:pt>
                <c:pt idx="59">
                  <c:v>178.79935026900392</c:v>
                </c:pt>
                <c:pt idx="60">
                  <c:v>175.81936109785386</c:v>
                </c:pt>
                <c:pt idx="61">
                  <c:v>172.93707648969232</c:v>
                </c:pt>
                <c:pt idx="62">
                  <c:v>170.14776880437469</c:v>
                </c:pt>
                <c:pt idx="63">
                  <c:v>167.44701056938464</c:v>
                </c:pt>
                <c:pt idx="64">
                  <c:v>164.830651029238</c:v>
                </c:pt>
                <c:pt idx="65">
                  <c:v>162.29479485955744</c:v>
                </c:pt>
                <c:pt idx="66">
                  <c:v>159.83578281623076</c:v>
                </c:pt>
                <c:pt idx="67">
                  <c:v>157.45017411748108</c:v>
                </c:pt>
                <c:pt idx="68">
                  <c:v>155.1347303804593</c:v>
                </c:pt>
                <c:pt idx="69">
                  <c:v>152.88640095465553</c:v>
                </c:pt>
                <c:pt idx="70">
                  <c:v>151.45408553743735</c:v>
                </c:pt>
                <c:pt idx="71">
                  <c:v>150.57843810799054</c:v>
                </c:pt>
                <c:pt idx="72">
                  <c:v>149.71425836149973</c:v>
                </c:pt>
                <c:pt idx="73">
                  <c:v>148.86132248832078</c:v>
                </c:pt>
                <c:pt idx="74">
                  <c:v>148.0194124651569</c:v>
                </c:pt>
                <c:pt idx="75">
                  <c:v>147.18831586925987</c:v>
                </c:pt>
                <c:pt idx="76">
                  <c:v>146.36782569974534</c:v>
                </c:pt>
                <c:pt idx="77">
                  <c:v>145.55774020570536</c:v>
                </c:pt>
                <c:pt idx="78">
                  <c:v>144.75786272081899</c:v>
                </c:pt>
                <c:pt idx="79">
                  <c:v>143.96800150417624</c:v>
                </c:pt>
                <c:pt idx="80">
                  <c:v>143.18796958704417</c:v>
                </c:pt>
                <c:pt idx="81">
                  <c:v>142.41758462531874</c:v>
                </c:pt>
                <c:pt idx="82">
                  <c:v>141.65666875741698</c:v>
                </c:pt>
                <c:pt idx="83">
                  <c:v>140.90504846737741</c:v>
                </c:pt>
                <c:pt idx="84">
                  <c:v>140.16255445294743</c:v>
                </c:pt>
                <c:pt idx="85">
                  <c:v>139.42902149844628</c:v>
                </c:pt>
                <c:pt idx="86">
                  <c:v>138.70428835220423</c:v>
                </c:pt>
                <c:pt idx="87">
                  <c:v>137.98819760838578</c:v>
                </c:pt>
                <c:pt idx="88">
                  <c:v>137.28059559301607</c:v>
                </c:pt>
                <c:pt idx="89">
                  <c:v>136.58133225403631</c:v>
                </c:pt>
                <c:pt idx="90">
                  <c:v>135.89026105522333</c:v>
                </c:pt>
                <c:pt idx="91">
                  <c:v>135.2072388738159</c:v>
                </c:pt>
                <c:pt idx="92">
                  <c:v>134.53212590169724</c:v>
                </c:pt>
                <c:pt idx="93">
                  <c:v>133.86478554999098</c:v>
                </c:pt>
                <c:pt idx="94">
                  <c:v>133.2050843569329</c:v>
                </c:pt>
                <c:pt idx="95">
                  <c:v>132.55289189888884</c:v>
                </c:pt>
                <c:pt idx="96">
                  <c:v>131.90808070439388</c:v>
                </c:pt>
                <c:pt idx="97">
                  <c:v>131.27052617109331</c:v>
                </c:pt>
                <c:pt idx="98">
                  <c:v>130.64010648547253</c:v>
                </c:pt>
                <c:pt idx="99">
                  <c:v>130.01670254526675</c:v>
                </c:pt>
                <c:pt idx="100">
                  <c:v>129.40019788444673</c:v>
                </c:pt>
              </c:numCache>
            </c:numRef>
          </c:val>
          <c:smooth val="0"/>
        </c:ser>
        <c:ser>
          <c:idx val="0"/>
          <c:order val="1"/>
          <c:tx>
            <c:v>VIN-nom</c:v>
          </c:tx>
          <c:spPr>
            <a:ln w="28575">
              <a:solidFill>
                <a:srgbClr val="0000FF"/>
              </a:solidFill>
              <a:prstDash val="lgDash"/>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349.69429147529314</c:v>
                </c:pt>
                <c:pt idx="60">
                  <c:v>343.86605328403829</c:v>
                </c:pt>
                <c:pt idx="61">
                  <c:v>338.22890486954583</c:v>
                </c:pt>
                <c:pt idx="62">
                  <c:v>332.77359995229506</c:v>
                </c:pt>
                <c:pt idx="63">
                  <c:v>327.49147931813172</c:v>
                </c:pt>
                <c:pt idx="64">
                  <c:v>322.37442495378588</c:v>
                </c:pt>
                <c:pt idx="65">
                  <c:v>317.41481841603536</c:v>
                </c:pt>
                <c:pt idx="66">
                  <c:v>312.6055029854893</c:v>
                </c:pt>
                <c:pt idx="67">
                  <c:v>307.93974920958658</c:v>
                </c:pt>
                <c:pt idx="68">
                  <c:v>303.41122348591614</c:v>
                </c:pt>
                <c:pt idx="69">
                  <c:v>299.01395937742461</c:v>
                </c:pt>
                <c:pt idx="70">
                  <c:v>294.74233138631854</c:v>
                </c:pt>
                <c:pt idx="71">
                  <c:v>290.59103094425768</c:v>
                </c:pt>
                <c:pt idx="72">
                  <c:v>286.55504440336529</c:v>
                </c:pt>
                <c:pt idx="73">
                  <c:v>282.62963283619587</c:v>
                </c:pt>
                <c:pt idx="74">
                  <c:v>278.81031347354451</c:v>
                </c:pt>
                <c:pt idx="75">
                  <c:v>275.0928426272306</c:v>
                </c:pt>
                <c:pt idx="76">
                  <c:v>271.4731999610828</c:v>
                </c:pt>
                <c:pt idx="77">
                  <c:v>267.94757398756224</c:v>
                </c:pt>
                <c:pt idx="78">
                  <c:v>264.51234868002945</c:v>
                </c:pt>
                <c:pt idx="79">
                  <c:v>261.16409110180126</c:v>
                </c:pt>
                <c:pt idx="80">
                  <c:v>257.89953996302864</c:v>
                </c:pt>
                <c:pt idx="81">
                  <c:v>254.7155950252135</c:v>
                </c:pt>
                <c:pt idx="82">
                  <c:v>251.60930728100362</c:v>
                </c:pt>
                <c:pt idx="83">
                  <c:v>248.57786984388321</c:v>
                </c:pt>
                <c:pt idx="84">
                  <c:v>245.61860948859876</c:v>
                </c:pt>
                <c:pt idx="85">
                  <c:v>242.72897878873292</c:v>
                </c:pt>
                <c:pt idx="86">
                  <c:v>239.90654880281741</c:v>
                </c:pt>
                <c:pt idx="87">
                  <c:v>237.14900226485403</c:v>
                </c:pt>
                <c:pt idx="88">
                  <c:v>234.45412723911704</c:v>
                </c:pt>
                <c:pt idx="89">
                  <c:v>231.81981120272246</c:v>
                </c:pt>
                <c:pt idx="90">
                  <c:v>229.2440355226922</c:v>
                </c:pt>
                <c:pt idx="91">
                  <c:v>226.72487029716811</c:v>
                </c:pt>
                <c:pt idx="92">
                  <c:v>224.26046953306843</c:v>
                </c:pt>
                <c:pt idx="93">
                  <c:v>221.84906663486339</c:v>
                </c:pt>
                <c:pt idx="94">
                  <c:v>219.48897018130106</c:v>
                </c:pt>
                <c:pt idx="95">
                  <c:v>217.17855996886627</c:v>
                </c:pt>
                <c:pt idx="96">
                  <c:v>214.91628330252394</c:v>
                </c:pt>
                <c:pt idx="97">
                  <c:v>212.70065151590001</c:v>
                </c:pt>
                <c:pt idx="98">
                  <c:v>211.39176243910754</c:v>
                </c:pt>
                <c:pt idx="99">
                  <c:v>210.17183418471973</c:v>
                </c:pt>
                <c:pt idx="100">
                  <c:v>208.96730126135304</c:v>
                </c:pt>
              </c:numCache>
            </c:numRef>
          </c:val>
          <c:smooth val="0"/>
        </c:ser>
        <c:ser>
          <c:idx val="2"/>
          <c:order val="2"/>
          <c:tx>
            <c:v>VIN-max</c:v>
          </c:tx>
          <c:spPr>
            <a:ln>
              <a:solidFill>
                <a:srgbClr val="FF0000"/>
              </a:solidFill>
              <a:prstDash val="solid"/>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39.259259259259252</c:v>
                </c:pt>
                <c:pt idx="2">
                  <c:v>78.518518518518505</c:v>
                </c:pt>
                <c:pt idx="3">
                  <c:v>117.77777777777776</c:v>
                </c:pt>
                <c:pt idx="4">
                  <c:v>157.03703703703701</c:v>
                </c:pt>
                <c:pt idx="5">
                  <c:v>196.29629629629628</c:v>
                </c:pt>
                <c:pt idx="6">
                  <c:v>235.55555555555551</c:v>
                </c:pt>
                <c:pt idx="7">
                  <c:v>274.81481481481478</c:v>
                </c:pt>
                <c:pt idx="8">
                  <c:v>314.07407407407402</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349.74925130114821</c:v>
                </c:pt>
                <c:pt idx="93">
                  <c:v>345.98850666350137</c:v>
                </c:pt>
                <c:pt idx="94">
                  <c:v>342.30777786920879</c:v>
                </c:pt>
                <c:pt idx="95">
                  <c:v>338.70453810216458</c:v>
                </c:pt>
                <c:pt idx="96">
                  <c:v>335.17636583026706</c:v>
                </c:pt>
                <c:pt idx="97">
                  <c:v>331.7209393784085</c:v>
                </c:pt>
                <c:pt idx="98">
                  <c:v>328.33603183373089</c:v>
                </c:pt>
                <c:pt idx="99">
                  <c:v>325.01950625965281</c:v>
                </c:pt>
                <c:pt idx="100">
                  <c:v>321.76931119705631</c:v>
                </c:pt>
              </c:numCache>
            </c:numRef>
          </c:val>
          <c:smooth val="0"/>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Dual'!$CD$110:$CD$210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185.07301168195147</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Dual'!$CD$5:$CD$105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Dual'!$CD$216:$CD$316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153221376"/>
        <c:axId val="15329318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3.7499999999999999E-3</c:v>
                </c:pt>
                <c:pt idx="1">
                  <c:v>1.472222222222222E-2</c:v>
                </c:pt>
                <c:pt idx="2">
                  <c:v>2.944444444444444E-2</c:v>
                </c:pt>
                <c:pt idx="3">
                  <c:v>4.4166666666666653E-2</c:v>
                </c:pt>
                <c:pt idx="4">
                  <c:v>5.888888888888888E-2</c:v>
                </c:pt>
                <c:pt idx="5">
                  <c:v>7.3611111111111099E-2</c:v>
                </c:pt>
                <c:pt idx="6">
                  <c:v>8.8333333333333305E-2</c:v>
                </c:pt>
                <c:pt idx="7">
                  <c:v>0.10305555555555554</c:v>
                </c:pt>
                <c:pt idx="8">
                  <c:v>0.12497359574807033</c:v>
                </c:pt>
                <c:pt idx="9">
                  <c:v>0.14771700139117366</c:v>
                </c:pt>
                <c:pt idx="10">
                  <c:v>0.15570739117545662</c:v>
                </c:pt>
                <c:pt idx="11">
                  <c:v>0.16330728959030985</c:v>
                </c:pt>
                <c:pt idx="12">
                  <c:v>0.17056890103415687</c:v>
                </c:pt>
                <c:pt idx="13">
                  <c:v>0.17753374092455401</c:v>
                </c:pt>
                <c:pt idx="14">
                  <c:v>0.18423546980246053</c:v>
                </c:pt>
                <c:pt idx="15">
                  <c:v>0.19070182877990444</c:v>
                </c:pt>
                <c:pt idx="16">
                  <c:v>0.19695600185489823</c:v>
                </c:pt>
                <c:pt idx="17">
                  <c:v>0.20301759981177331</c:v>
                </c:pt>
                <c:pt idx="18">
                  <c:v>0.20890338676048312</c:v>
                </c:pt>
                <c:pt idx="19">
                  <c:v>0.2146278271023277</c:v>
                </c:pt>
                <c:pt idx="20">
                  <c:v>0.22020350436206351</c:v>
                </c:pt>
                <c:pt idx="21">
                  <c:v>0.22564144676898348</c:v>
                </c:pt>
                <c:pt idx="22">
                  <c:v>0.23095138377300678</c:v>
                </c:pt>
                <c:pt idx="23">
                  <c:v>0.2361419506003398</c:v>
                </c:pt>
                <c:pt idx="24">
                  <c:v>0.2412208531615789</c:v>
                </c:pt>
                <c:pt idx="25">
                  <c:v>0.24619500231862276</c:v>
                </c:pt>
                <c:pt idx="26">
                  <c:v>0.25107062419433568</c:v>
                </c:pt>
                <c:pt idx="27">
                  <c:v>0.25585335155123529</c:v>
                </c:pt>
                <c:pt idx="28">
                  <c:v>0.26054830006481844</c:v>
                </c:pt>
                <c:pt idx="29">
                  <c:v>0.26516013243572895</c:v>
                </c:pt>
                <c:pt idx="30">
                  <c:v>0.26969311262989271</c:v>
                </c:pt>
                <c:pt idx="31">
                  <c:v>0.27415115204329649</c:v>
                </c:pt>
                <c:pt idx="32">
                  <c:v>0.27853784901397755</c:v>
                </c:pt>
                <c:pt idx="33">
                  <c:v>0.28285652281678075</c:v>
                </c:pt>
                <c:pt idx="34">
                  <c:v>0.28711024305424337</c:v>
                </c:pt>
                <c:pt idx="35">
                  <c:v>0.2913018551834734</c:v>
                </c:pt>
                <c:pt idx="36">
                  <c:v>0.29543400278234733</c:v>
                </c:pt>
                <c:pt idx="37">
                  <c:v>0.29950914705008036</c:v>
                </c:pt>
                <c:pt idx="38">
                  <c:v>0.30352958395077956</c:v>
                </c:pt>
                <c:pt idx="39">
                  <c:v>0.30749745933909767</c:v>
                </c:pt>
                <c:pt idx="40">
                  <c:v>0.31141478235091324</c:v>
                </c:pt>
                <c:pt idx="41">
                  <c:v>0.31528343729624198</c:v>
                </c:pt>
                <c:pt idx="42">
                  <c:v>0.31910519425418327</c:v>
                </c:pt>
                <c:pt idx="43">
                  <c:v>0.32288171853895148</c:v>
                </c:pt>
                <c:pt idx="44">
                  <c:v>0.3266145791806197</c:v>
                </c:pt>
                <c:pt idx="45">
                  <c:v>0.33030525654309528</c:v>
                </c:pt>
                <c:pt idx="46">
                  <c:v>0.33395514918423802</c:v>
                </c:pt>
                <c:pt idx="47">
                  <c:v>0.33756558004828235</c:v>
                </c:pt>
                <c:pt idx="48">
                  <c:v>0.34113780206831373</c:v>
                </c:pt>
                <c:pt idx="49">
                  <c:v>0.34467300324607186</c:v>
                </c:pt>
                <c:pt idx="50">
                  <c:v>0.34817231126747189</c:v>
                </c:pt>
                <c:pt idx="51">
                  <c:v>0.3516367977046771</c:v>
                </c:pt>
                <c:pt idx="52">
                  <c:v>0.35506748184910802</c:v>
                </c:pt>
                <c:pt idx="53">
                  <c:v>0.35846533421424909</c:v>
                </c:pt>
                <c:pt idx="54">
                  <c:v>0.36183127974236834</c:v>
                </c:pt>
                <c:pt idx="55">
                  <c:v>0.36516620074517664</c:v>
                </c:pt>
                <c:pt idx="56">
                  <c:v>0.36847093960492106</c:v>
                </c:pt>
                <c:pt idx="57">
                  <c:v>0.37174630125934005</c:v>
                </c:pt>
                <c:pt idx="58">
                  <c:v>0.37499305549125395</c:v>
                </c:pt>
                <c:pt idx="59">
                  <c:v>0.37788158871577882</c:v>
                </c:pt>
                <c:pt idx="60">
                  <c:v>0.37471934409482383</c:v>
                </c:pt>
                <c:pt idx="61">
                  <c:v>0.37163518181959965</c:v>
                </c:pt>
                <c:pt idx="62">
                  <c:v>0.36862594053810371</c:v>
                </c:pt>
                <c:pt idx="63">
                  <c:v>0.36568863523736517</c:v>
                </c:pt>
                <c:pt idx="64">
                  <c:v>0.36282044479525483</c:v>
                </c:pt>
                <c:pt idx="65">
                  <c:v>0.36001870058974389</c:v>
                </c:pt>
                <c:pt idx="66">
                  <c:v>0.35728087606106074</c:v>
                </c:pt>
                <c:pt idx="67">
                  <c:v>0.35460457713395044</c:v>
                </c:pt>
                <c:pt idx="68">
                  <c:v>0.35198753341750993</c:v>
                </c:pt>
                <c:pt idx="69">
                  <c:v>0.34942759010907987</c:v>
                </c:pt>
                <c:pt idx="70">
                  <c:v>0.34692270053657487</c:v>
                </c:pt>
                <c:pt idx="71">
                  <c:v>0.34447091928059514</c:v>
                </c:pt>
                <c:pt idx="72">
                  <c:v>0.34207039582379217</c:v>
                </c:pt>
                <c:pt idx="73">
                  <c:v>0.33971936868037594</c:v>
                </c:pt>
                <c:pt idx="74">
                  <c:v>0.33741615996344482</c:v>
                </c:pt>
                <c:pt idx="75">
                  <c:v>0.33515917035206422</c:v>
                </c:pt>
                <c:pt idx="76">
                  <c:v>0.33294687442378812</c:v>
                </c:pt>
                <c:pt idx="77">
                  <c:v>0.33077781632167585</c:v>
                </c:pt>
                <c:pt idx="78">
                  <c:v>0.32865060572783533</c:v>
                </c:pt>
                <c:pt idx="79">
                  <c:v>0.32656391411819174</c:v>
                </c:pt>
                <c:pt idx="80">
                  <c:v>0.32451647127555977</c:v>
                </c:pt>
                <c:pt idx="81">
                  <c:v>0.3225070620402265</c:v>
                </c:pt>
                <c:pt idx="82">
                  <c:v>0.32053452327915694</c:v>
                </c:pt>
                <c:pt idx="83">
                  <c:v>0.39849624060150379</c:v>
                </c:pt>
                <c:pt idx="84">
                  <c:v>0.39849624060150374</c:v>
                </c:pt>
                <c:pt idx="85">
                  <c:v>0.39849624060150379</c:v>
                </c:pt>
                <c:pt idx="86">
                  <c:v>0.39849624060150368</c:v>
                </c:pt>
                <c:pt idx="87">
                  <c:v>0.39849624060150374</c:v>
                </c:pt>
                <c:pt idx="88">
                  <c:v>0.39849624060150379</c:v>
                </c:pt>
                <c:pt idx="89">
                  <c:v>0.39849624060150374</c:v>
                </c:pt>
                <c:pt idx="90">
                  <c:v>0.39849624060150374</c:v>
                </c:pt>
                <c:pt idx="91">
                  <c:v>0.39849624060150374</c:v>
                </c:pt>
                <c:pt idx="92">
                  <c:v>0.39849624060150368</c:v>
                </c:pt>
                <c:pt idx="93">
                  <c:v>0.39849624060150368</c:v>
                </c:pt>
                <c:pt idx="94">
                  <c:v>0.39849624060150374</c:v>
                </c:pt>
                <c:pt idx="95">
                  <c:v>0.39849624060150368</c:v>
                </c:pt>
                <c:pt idx="96">
                  <c:v>0.39849624060150368</c:v>
                </c:pt>
                <c:pt idx="97">
                  <c:v>0.39849624060150379</c:v>
                </c:pt>
                <c:pt idx="98">
                  <c:v>0.39635955457332661</c:v>
                </c:pt>
                <c:pt idx="99">
                  <c:v>0.3940721890963495</c:v>
                </c:pt>
                <c:pt idx="100">
                  <c:v>0.3918136898650369</c:v>
                </c:pt>
              </c:numCache>
            </c:numRef>
          </c:val>
          <c:smooth val="0"/>
        </c:ser>
        <c:ser>
          <c:idx val="7"/>
          <c:order val="7"/>
          <c:spPr>
            <a:ln w="25400">
              <a:solidFill>
                <a:srgbClr val="00B050"/>
              </a:solidFill>
              <a:prstDash val="dash"/>
            </a:ln>
          </c:spPr>
          <c:marker>
            <c:symbol val="none"/>
          </c:marker>
          <c:val>
            <c:numRef>
              <c:f>'Calculations - Dual'!$AU$110:$AU$210</c:f>
              <c:numCache>
                <c:formatCode>0.000</c:formatCode>
                <c:ptCount val="101"/>
                <c:pt idx="0">
                  <c:v>7.4999999999999997E-3</c:v>
                </c:pt>
                <c:pt idx="1">
                  <c:v>2.944444444444444E-2</c:v>
                </c:pt>
                <c:pt idx="2">
                  <c:v>5.888888888888888E-2</c:v>
                </c:pt>
                <c:pt idx="3">
                  <c:v>8.8333333333333305E-2</c:v>
                </c:pt>
                <c:pt idx="4">
                  <c:v>0.11777777777777776</c:v>
                </c:pt>
                <c:pt idx="5">
                  <c:v>0.1472222222222222</c:v>
                </c:pt>
                <c:pt idx="6">
                  <c:v>0.17666666666666661</c:v>
                </c:pt>
                <c:pt idx="7">
                  <c:v>0.20611111111111108</c:v>
                </c:pt>
                <c:pt idx="8">
                  <c:v>0.24994719149614067</c:v>
                </c:pt>
                <c:pt idx="9">
                  <c:v>0.29543400278234733</c:v>
                </c:pt>
                <c:pt idx="10">
                  <c:v>0.31141478235091324</c:v>
                </c:pt>
                <c:pt idx="11">
                  <c:v>0.3266145791806197</c:v>
                </c:pt>
                <c:pt idx="12">
                  <c:v>0.34113780206831373</c:v>
                </c:pt>
                <c:pt idx="13">
                  <c:v>0.35506748184910802</c:v>
                </c:pt>
                <c:pt idx="14">
                  <c:v>0.36847093960492106</c:v>
                </c:pt>
                <c:pt idx="15">
                  <c:v>0.38140365755980887</c:v>
                </c:pt>
                <c:pt idx="16">
                  <c:v>0.39391200370979645</c:v>
                </c:pt>
                <c:pt idx="17">
                  <c:v>0.40603519962354662</c:v>
                </c:pt>
                <c:pt idx="18">
                  <c:v>0.41780677352096623</c:v>
                </c:pt>
                <c:pt idx="19">
                  <c:v>0.42925565420465539</c:v>
                </c:pt>
                <c:pt idx="20">
                  <c:v>0.44040700872412702</c:v>
                </c:pt>
                <c:pt idx="21">
                  <c:v>0.45128289353796697</c:v>
                </c:pt>
                <c:pt idx="22">
                  <c:v>0.46190276754601356</c:v>
                </c:pt>
                <c:pt idx="23">
                  <c:v>0.47228390120067959</c:v>
                </c:pt>
                <c:pt idx="24">
                  <c:v>0.4824417063231578</c:v>
                </c:pt>
                <c:pt idx="25">
                  <c:v>0.49239000463724553</c:v>
                </c:pt>
                <c:pt idx="26">
                  <c:v>0.50214124838867136</c:v>
                </c:pt>
                <c:pt idx="27">
                  <c:v>0.51170670310247057</c:v>
                </c:pt>
                <c:pt idx="28">
                  <c:v>0.52109660012963688</c:v>
                </c:pt>
                <c:pt idx="29">
                  <c:v>0.53032026487145789</c:v>
                </c:pt>
                <c:pt idx="30">
                  <c:v>0.53938622525978541</c:v>
                </c:pt>
                <c:pt idx="31">
                  <c:v>0.53309950668932327</c:v>
                </c:pt>
                <c:pt idx="32">
                  <c:v>0.56989247311827951</c:v>
                </c:pt>
                <c:pt idx="33">
                  <c:v>0.56989247311827951</c:v>
                </c:pt>
                <c:pt idx="34">
                  <c:v>0.56989247311827951</c:v>
                </c:pt>
                <c:pt idx="35">
                  <c:v>0.56989247311827951</c:v>
                </c:pt>
                <c:pt idx="36">
                  <c:v>0.56989247311827951</c:v>
                </c:pt>
                <c:pt idx="37">
                  <c:v>0.56989247311827962</c:v>
                </c:pt>
                <c:pt idx="38">
                  <c:v>0.56989247311827951</c:v>
                </c:pt>
                <c:pt idx="39">
                  <c:v>0.56989247311827951</c:v>
                </c:pt>
                <c:pt idx="40">
                  <c:v>0.56989247311827951</c:v>
                </c:pt>
                <c:pt idx="41">
                  <c:v>0.56989247311827951</c:v>
                </c:pt>
                <c:pt idx="42">
                  <c:v>0.56989247311827951</c:v>
                </c:pt>
                <c:pt idx="43">
                  <c:v>0.56989247311827962</c:v>
                </c:pt>
                <c:pt idx="44">
                  <c:v>0.56989247311827951</c:v>
                </c:pt>
                <c:pt idx="45">
                  <c:v>0.56989247311827962</c:v>
                </c:pt>
                <c:pt idx="46">
                  <c:v>0.56989247311827962</c:v>
                </c:pt>
                <c:pt idx="47">
                  <c:v>0.56989247311827951</c:v>
                </c:pt>
                <c:pt idx="48">
                  <c:v>0.56989247311827951</c:v>
                </c:pt>
                <c:pt idx="49">
                  <c:v>0.56989247311827962</c:v>
                </c:pt>
                <c:pt idx="50">
                  <c:v>0.56989247311827962</c:v>
                </c:pt>
                <c:pt idx="51">
                  <c:v>0.56989247311827951</c:v>
                </c:pt>
                <c:pt idx="52">
                  <c:v>0.56989247311827962</c:v>
                </c:pt>
                <c:pt idx="53">
                  <c:v>0.5698924731182794</c:v>
                </c:pt>
                <c:pt idx="54">
                  <c:v>0.56989247311827951</c:v>
                </c:pt>
                <c:pt idx="55">
                  <c:v>0.56989247311827951</c:v>
                </c:pt>
                <c:pt idx="56">
                  <c:v>0.56989247311827951</c:v>
                </c:pt>
                <c:pt idx="57">
                  <c:v>0.56989247311827962</c:v>
                </c:pt>
                <c:pt idx="58">
                  <c:v>0.56989247311827962</c:v>
                </c:pt>
                <c:pt idx="59">
                  <c:v>0.56989247311827951</c:v>
                </c:pt>
                <c:pt idx="60">
                  <c:v>0.56989247311827951</c:v>
                </c:pt>
                <c:pt idx="61">
                  <c:v>0.56989247311827951</c:v>
                </c:pt>
                <c:pt idx="62">
                  <c:v>0.56989247311827951</c:v>
                </c:pt>
                <c:pt idx="63">
                  <c:v>0.56989247311827951</c:v>
                </c:pt>
                <c:pt idx="64">
                  <c:v>0.56989247311827951</c:v>
                </c:pt>
                <c:pt idx="65">
                  <c:v>0.56989247311827962</c:v>
                </c:pt>
                <c:pt idx="66">
                  <c:v>0.56989247311827951</c:v>
                </c:pt>
                <c:pt idx="67">
                  <c:v>0.56989247311827962</c:v>
                </c:pt>
                <c:pt idx="68">
                  <c:v>0.56989247311827951</c:v>
                </c:pt>
                <c:pt idx="69">
                  <c:v>0.56989247311827951</c:v>
                </c:pt>
                <c:pt idx="70">
                  <c:v>0.56795282076539</c:v>
                </c:pt>
                <c:pt idx="71">
                  <c:v>0.56466914290496451</c:v>
                </c:pt>
                <c:pt idx="72">
                  <c:v>0.56142846885562403</c:v>
                </c:pt>
                <c:pt idx="73">
                  <c:v>0.5582299593312029</c:v>
                </c:pt>
                <c:pt idx="74">
                  <c:v>0.5550727967443384</c:v>
                </c:pt>
                <c:pt idx="75">
                  <c:v>0.5519561845097245</c:v>
                </c:pt>
                <c:pt idx="76">
                  <c:v>0.54887934637404501</c:v>
                </c:pt>
                <c:pt idx="77">
                  <c:v>0.54584152577139511</c:v>
                </c:pt>
                <c:pt idx="78">
                  <c:v>0.54284198520307125</c:v>
                </c:pt>
                <c:pt idx="79">
                  <c:v>0.53988000564066085</c:v>
                </c:pt>
                <c:pt idx="80">
                  <c:v>0.53695488595141561</c:v>
                </c:pt>
                <c:pt idx="81">
                  <c:v>0.53406594234494531</c:v>
                </c:pt>
                <c:pt idx="82">
                  <c:v>0.53121250784031371</c:v>
                </c:pt>
                <c:pt idx="83">
                  <c:v>0.52839393175266525</c:v>
                </c:pt>
                <c:pt idx="84">
                  <c:v>0.52560957919855289</c:v>
                </c:pt>
                <c:pt idx="85">
                  <c:v>0.52285883061917349</c:v>
                </c:pt>
                <c:pt idx="86">
                  <c:v>0.52014108132076586</c:v>
                </c:pt>
                <c:pt idx="87">
                  <c:v>0.51745574103144665</c:v>
                </c:pt>
                <c:pt idx="88">
                  <c:v>0.51480223347381027</c:v>
                </c:pt>
                <c:pt idx="89">
                  <c:v>0.51217999595263619</c:v>
                </c:pt>
                <c:pt idx="90">
                  <c:v>0.50958847895708748</c:v>
                </c:pt>
                <c:pt idx="91">
                  <c:v>0.50702714577680963</c:v>
                </c:pt>
                <c:pt idx="92">
                  <c:v>0.5044954721313647</c:v>
                </c:pt>
                <c:pt idx="93">
                  <c:v>0.50199294581246623</c:v>
                </c:pt>
                <c:pt idx="94">
                  <c:v>0.49951906633849841</c:v>
                </c:pt>
                <c:pt idx="95">
                  <c:v>0.49707334462083319</c:v>
                </c:pt>
                <c:pt idx="96">
                  <c:v>0.49465530264147706</c:v>
                </c:pt>
                <c:pt idx="97">
                  <c:v>0.49226447314159988</c:v>
                </c:pt>
                <c:pt idx="98">
                  <c:v>0.48990039932052193</c:v>
                </c:pt>
                <c:pt idx="99">
                  <c:v>0.4875626345447503</c:v>
                </c:pt>
                <c:pt idx="100">
                  <c:v>0.48525074206667523</c:v>
                </c:pt>
              </c:numCache>
            </c:numRef>
          </c:val>
          <c:smooth val="0"/>
        </c:ser>
        <c:ser>
          <c:idx val="8"/>
          <c:order val="8"/>
          <c:spPr>
            <a:ln w="25400">
              <a:solidFill>
                <a:srgbClr val="FF0000"/>
              </a:solidFill>
            </a:ln>
          </c:spPr>
          <c:marker>
            <c:symbol val="none"/>
          </c:marker>
          <c:val>
            <c:numRef>
              <c:f>'Calculations - Dual'!$AU$216:$AU$316</c:f>
              <c:numCache>
                <c:formatCode>0.000</c:formatCode>
                <c:ptCount val="101"/>
                <c:pt idx="0">
                  <c:v>1.8749999999999999E-3</c:v>
                </c:pt>
                <c:pt idx="1">
                  <c:v>7.3611111111111099E-3</c:v>
                </c:pt>
                <c:pt idx="2">
                  <c:v>1.472222222222222E-2</c:v>
                </c:pt>
                <c:pt idx="3">
                  <c:v>2.2083333333333326E-2</c:v>
                </c:pt>
                <c:pt idx="4">
                  <c:v>2.944444444444444E-2</c:v>
                </c:pt>
                <c:pt idx="5">
                  <c:v>3.680555555555555E-2</c:v>
                </c:pt>
                <c:pt idx="6">
                  <c:v>4.4166666666666653E-2</c:v>
                </c:pt>
                <c:pt idx="7">
                  <c:v>5.152777777777777E-2</c:v>
                </c:pt>
                <c:pt idx="8">
                  <c:v>6.2486797874035167E-2</c:v>
                </c:pt>
                <c:pt idx="9">
                  <c:v>7.3858500695586832E-2</c:v>
                </c:pt>
                <c:pt idx="10">
                  <c:v>7.7853695587728311E-2</c:v>
                </c:pt>
                <c:pt idx="11">
                  <c:v>8.1653644795154925E-2</c:v>
                </c:pt>
                <c:pt idx="12">
                  <c:v>8.5284450517078433E-2</c:v>
                </c:pt>
                <c:pt idx="13">
                  <c:v>8.8766870462277006E-2</c:v>
                </c:pt>
                <c:pt idx="14">
                  <c:v>9.2117734901230264E-2</c:v>
                </c:pt>
                <c:pt idx="15">
                  <c:v>9.5350914389952218E-2</c:v>
                </c:pt>
                <c:pt idx="16">
                  <c:v>9.8478000927449114E-2</c:v>
                </c:pt>
                <c:pt idx="17">
                  <c:v>0.10150879990588665</c:v>
                </c:pt>
                <c:pt idx="18">
                  <c:v>0.10445169338024156</c:v>
                </c:pt>
                <c:pt idx="19">
                  <c:v>0.10731391355116385</c:v>
                </c:pt>
                <c:pt idx="20">
                  <c:v>0.11010175218103176</c:v>
                </c:pt>
                <c:pt idx="21">
                  <c:v>0.11282072338449174</c:v>
                </c:pt>
                <c:pt idx="22">
                  <c:v>0.11547569188650339</c:v>
                </c:pt>
                <c:pt idx="23">
                  <c:v>0.1180709753001699</c:v>
                </c:pt>
                <c:pt idx="24">
                  <c:v>0.12061042658078945</c:v>
                </c:pt>
                <c:pt idx="25">
                  <c:v>0.12309750115931138</c:v>
                </c:pt>
                <c:pt idx="26">
                  <c:v>0.12553531209716784</c:v>
                </c:pt>
                <c:pt idx="27">
                  <c:v>0.12792667577561764</c:v>
                </c:pt>
                <c:pt idx="28">
                  <c:v>0.13027415003240922</c:v>
                </c:pt>
                <c:pt idx="29">
                  <c:v>0.13258006621786447</c:v>
                </c:pt>
                <c:pt idx="30">
                  <c:v>0.13484655631494635</c:v>
                </c:pt>
                <c:pt idx="31">
                  <c:v>0.13707557602164824</c:v>
                </c:pt>
                <c:pt idx="32">
                  <c:v>0.13926892450698877</c:v>
                </c:pt>
                <c:pt idx="33">
                  <c:v>0.14142826140839038</c:v>
                </c:pt>
                <c:pt idx="34">
                  <c:v>0.14355512152712169</c:v>
                </c:pt>
                <c:pt idx="35">
                  <c:v>0.1456509275917367</c:v>
                </c:pt>
                <c:pt idx="36">
                  <c:v>0.14771700139117366</c:v>
                </c:pt>
                <c:pt idx="37">
                  <c:v>0.14975457352504018</c:v>
                </c:pt>
                <c:pt idx="38">
                  <c:v>0.15176479197538978</c:v>
                </c:pt>
                <c:pt idx="39">
                  <c:v>0.15374872966954883</c:v>
                </c:pt>
                <c:pt idx="40">
                  <c:v>0.15570739117545662</c:v>
                </c:pt>
                <c:pt idx="41">
                  <c:v>0.15764171864812099</c:v>
                </c:pt>
                <c:pt idx="42">
                  <c:v>0.15955259712709163</c:v>
                </c:pt>
                <c:pt idx="43">
                  <c:v>0.16144085926947574</c:v>
                </c:pt>
                <c:pt idx="44">
                  <c:v>0.16330728959030985</c:v>
                </c:pt>
                <c:pt idx="45">
                  <c:v>0.16515262827154764</c:v>
                </c:pt>
                <c:pt idx="46">
                  <c:v>0.16697757459211901</c:v>
                </c:pt>
                <c:pt idx="47">
                  <c:v>0.16878279002414118</c:v>
                </c:pt>
                <c:pt idx="48">
                  <c:v>0.17056890103415687</c:v>
                </c:pt>
                <c:pt idx="49">
                  <c:v>0.17233650162303593</c:v>
                </c:pt>
                <c:pt idx="50">
                  <c:v>0.17408615563373595</c:v>
                </c:pt>
                <c:pt idx="51">
                  <c:v>0.17581839885233855</c:v>
                </c:pt>
                <c:pt idx="52">
                  <c:v>0.17753374092455401</c:v>
                </c:pt>
                <c:pt idx="53">
                  <c:v>0.17923266710712454</c:v>
                </c:pt>
                <c:pt idx="54">
                  <c:v>0.18091563987118417</c:v>
                </c:pt>
                <c:pt idx="55">
                  <c:v>0.18258310037258832</c:v>
                </c:pt>
                <c:pt idx="56">
                  <c:v>0.18423546980246053</c:v>
                </c:pt>
                <c:pt idx="57">
                  <c:v>0.18587315062967003</c:v>
                </c:pt>
                <c:pt idx="58">
                  <c:v>0.18749652774562697</c:v>
                </c:pt>
                <c:pt idx="59">
                  <c:v>0.18910596952061912</c:v>
                </c:pt>
                <c:pt idx="60">
                  <c:v>0.19070182877990444</c:v>
                </c:pt>
                <c:pt idx="61">
                  <c:v>0.19228444370688613</c:v>
                </c:pt>
                <c:pt idx="62">
                  <c:v>0.19385413867991919</c:v>
                </c:pt>
                <c:pt idx="63">
                  <c:v>0.19541122504861383</c:v>
                </c:pt>
                <c:pt idx="64">
                  <c:v>0.19695600185489823</c:v>
                </c:pt>
                <c:pt idx="65">
                  <c:v>0.19848875650356956</c:v>
                </c:pt>
                <c:pt idx="66">
                  <c:v>0.20000976538659307</c:v>
                </c:pt>
                <c:pt idx="67">
                  <c:v>0.20151929446498831</c:v>
                </c:pt>
                <c:pt idx="68">
                  <c:v>0.20301759981177331</c:v>
                </c:pt>
                <c:pt idx="69">
                  <c:v>0.20450492811910423</c:v>
                </c:pt>
                <c:pt idx="70">
                  <c:v>0.20598151717245566</c:v>
                </c:pt>
                <c:pt idx="71">
                  <c:v>0.20744759629442161</c:v>
                </c:pt>
                <c:pt idx="72">
                  <c:v>0.20890338676048312</c:v>
                </c:pt>
                <c:pt idx="73">
                  <c:v>0.21034910218887715</c:v>
                </c:pt>
                <c:pt idx="74">
                  <c:v>0.21178494890651064</c:v>
                </c:pt>
                <c:pt idx="75">
                  <c:v>0.21321112629269609</c:v>
                </c:pt>
                <c:pt idx="76">
                  <c:v>0.2146278271023277</c:v>
                </c:pt>
                <c:pt idx="77">
                  <c:v>0.21603523776998357</c:v>
                </c:pt>
                <c:pt idx="78">
                  <c:v>0.2174335386963106</c:v>
                </c:pt>
                <c:pt idx="79">
                  <c:v>0.21882290451793812</c:v>
                </c:pt>
                <c:pt idx="80">
                  <c:v>0.22020350436206351</c:v>
                </c:pt>
                <c:pt idx="81">
                  <c:v>0.2215755020867605</c:v>
                </c:pt>
                <c:pt idx="82">
                  <c:v>0.22293905650797638</c:v>
                </c:pt>
                <c:pt idx="83">
                  <c:v>0.22429432161410892</c:v>
                </c:pt>
                <c:pt idx="84">
                  <c:v>0.22564144676898348</c:v>
                </c:pt>
                <c:pt idx="85">
                  <c:v>0.22698057690398679</c:v>
                </c:pt>
                <c:pt idx="86">
                  <c:v>0.22831185270005874</c:v>
                </c:pt>
                <c:pt idx="87">
                  <c:v>0.22963541076018737</c:v>
                </c:pt>
                <c:pt idx="88">
                  <c:v>0.23095138377300678</c:v>
                </c:pt>
                <c:pt idx="89">
                  <c:v>0.23225990066805191</c:v>
                </c:pt>
                <c:pt idx="90">
                  <c:v>0.23356108676318496</c:v>
                </c:pt>
                <c:pt idx="91">
                  <c:v>0.23485506390467006</c:v>
                </c:pt>
                <c:pt idx="92">
                  <c:v>0.23597277263789021</c:v>
                </c:pt>
                <c:pt idx="93">
                  <c:v>0.23470067295215388</c:v>
                </c:pt>
                <c:pt idx="94">
                  <c:v>0.23344892710457446</c:v>
                </c:pt>
                <c:pt idx="95">
                  <c:v>0.23221699804572621</c:v>
                </c:pt>
                <c:pt idx="96">
                  <c:v>0.23100436835764146</c:v>
                </c:pt>
                <c:pt idx="97">
                  <c:v>0.24882629107981219</c:v>
                </c:pt>
                <c:pt idx="98">
                  <c:v>0.24882629107981219</c:v>
                </c:pt>
                <c:pt idx="99">
                  <c:v>0.24882629107981219</c:v>
                </c:pt>
                <c:pt idx="100">
                  <c:v>0.24882629107981216</c:v>
                </c:pt>
              </c:numCache>
            </c:numRef>
          </c:val>
          <c:smooth val="0"/>
        </c:ser>
        <c:dLbls>
          <c:showLegendKey val="0"/>
          <c:showVal val="0"/>
          <c:showCatName val="0"/>
          <c:showSerName val="0"/>
          <c:showPercent val="0"/>
          <c:showBubbleSize val="0"/>
        </c:dLbls>
        <c:marker val="1"/>
        <c:smooth val="0"/>
        <c:axId val="153301376"/>
        <c:axId val="153295104"/>
      </c:lineChart>
      <c:catAx>
        <c:axId val="153221376"/>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en-US"/>
          </a:p>
        </c:txPr>
        <c:crossAx val="153293184"/>
        <c:crosses val="autoZero"/>
        <c:auto val="1"/>
        <c:lblAlgn val="ctr"/>
        <c:lblOffset val="100"/>
        <c:tickLblSkip val="20"/>
        <c:tickMarkSkip val="10"/>
        <c:noMultiLvlLbl val="0"/>
      </c:catAx>
      <c:valAx>
        <c:axId val="153293184"/>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en-US"/>
          </a:p>
        </c:txPr>
        <c:crossAx val="153221376"/>
        <c:crossesAt val="0"/>
        <c:crossBetween val="between"/>
        <c:majorUnit val="50"/>
        <c:minorUnit val="25"/>
      </c:valAx>
      <c:valAx>
        <c:axId val="153295104"/>
        <c:scaling>
          <c:orientation val="minMax"/>
          <c:max val="0.60000000000000009"/>
        </c:scaling>
        <c:delete val="0"/>
        <c:axPos val="r"/>
        <c:title>
          <c:tx>
            <c:rich>
              <a:bodyPr rot="-5400000" vert="horz"/>
              <a:lstStyle/>
              <a:p>
                <a:pPr>
                  <a:defRPr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sz="1400" b="1"/>
            </a:pPr>
            <a:endParaRPr lang="en-US"/>
          </a:p>
        </c:txPr>
        <c:crossAx val="153301376"/>
        <c:crosses val="max"/>
        <c:crossBetween val="between"/>
        <c:majorUnit val="0.1"/>
        <c:minorUnit val="5.000000000000001E-2"/>
      </c:valAx>
      <c:catAx>
        <c:axId val="153301376"/>
        <c:scaling>
          <c:orientation val="minMax"/>
        </c:scaling>
        <c:delete val="1"/>
        <c:axPos val="b"/>
        <c:majorTickMark val="out"/>
        <c:minorTickMark val="none"/>
        <c:tickLblPos val="nextTo"/>
        <c:crossAx val="15329510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0.3</c:v>
                </c:pt>
                <c:pt idx="1">
                  <c:v>0.3</c:v>
                </c:pt>
                <c:pt idx="2">
                  <c:v>0.3</c:v>
                </c:pt>
                <c:pt idx="3">
                  <c:v>0.3</c:v>
                </c:pt>
                <c:pt idx="4">
                  <c:v>0.3</c:v>
                </c:pt>
                <c:pt idx="5">
                  <c:v>0.3</c:v>
                </c:pt>
                <c:pt idx="6">
                  <c:v>0.3</c:v>
                </c:pt>
                <c:pt idx="7">
                  <c:v>0.3</c:v>
                </c:pt>
                <c:pt idx="8">
                  <c:v>0.31832897030168861</c:v>
                </c:pt>
                <c:pt idx="9">
                  <c:v>0.33763886032268264</c:v>
                </c:pt>
                <c:pt idx="10">
                  <c:v>0.35590260840104371</c:v>
                </c:pt>
                <c:pt idx="11">
                  <c:v>0.37327380477785116</c:v>
                </c:pt>
                <c:pt idx="12">
                  <c:v>0.38987177379235854</c:v>
                </c:pt>
                <c:pt idx="13">
                  <c:v>0.40579140782755208</c:v>
                </c:pt>
                <c:pt idx="14">
                  <c:v>0.42110964526276684</c:v>
                </c:pt>
                <c:pt idx="15">
                  <c:v>0.43588989435406733</c:v>
                </c:pt>
                <c:pt idx="16">
                  <c:v>0.45018514709691021</c:v>
                </c:pt>
                <c:pt idx="17">
                  <c:v>0.46404022814119611</c:v>
                </c:pt>
                <c:pt idx="18">
                  <c:v>0.47749345545253286</c:v>
                </c:pt>
                <c:pt idx="19">
                  <c:v>0.49057789051960615</c:v>
                </c:pt>
                <c:pt idx="20">
                  <c:v>0.50332229568471665</c:v>
                </c:pt>
                <c:pt idx="21">
                  <c:v>0.51575187832910507</c:v>
                </c:pt>
                <c:pt idx="22">
                  <c:v>0.52788887719544408</c:v>
                </c:pt>
                <c:pt idx="23">
                  <c:v>0.53975302994363383</c:v>
                </c:pt>
                <c:pt idx="24">
                  <c:v>0.55136195008360889</c:v>
                </c:pt>
                <c:pt idx="25">
                  <c:v>0.56273143387113778</c:v>
                </c:pt>
                <c:pt idx="26">
                  <c:v>0.57387571244419588</c:v>
                </c:pt>
                <c:pt idx="27">
                  <c:v>0.58480766068853784</c:v>
                </c:pt>
                <c:pt idx="28">
                  <c:v>0.59553897157672786</c:v>
                </c:pt>
                <c:pt idx="29">
                  <c:v>0.60608030271023761</c:v>
                </c:pt>
                <c:pt idx="30">
                  <c:v>0.61644140029689765</c:v>
                </c:pt>
                <c:pt idx="31">
                  <c:v>0.62663120467039202</c:v>
                </c:pt>
                <c:pt idx="32">
                  <c:v>0.6914884696016772</c:v>
                </c:pt>
                <c:pt idx="33">
                  <c:v>0.7130974842767297</c:v>
                </c:pt>
                <c:pt idx="34">
                  <c:v>0.73470649895178208</c:v>
                </c:pt>
                <c:pt idx="35">
                  <c:v>0.75631551362683436</c:v>
                </c:pt>
                <c:pt idx="36">
                  <c:v>0.77792452830188674</c:v>
                </c:pt>
                <c:pt idx="37">
                  <c:v>0.79953354297693935</c:v>
                </c:pt>
                <c:pt idx="38">
                  <c:v>0.82114255765199173</c:v>
                </c:pt>
                <c:pt idx="39">
                  <c:v>0.84275157232704412</c:v>
                </c:pt>
                <c:pt idx="40">
                  <c:v>0.8643605870020965</c:v>
                </c:pt>
                <c:pt idx="41">
                  <c:v>0.88596960167714878</c:v>
                </c:pt>
                <c:pt idx="42">
                  <c:v>0.90757861635220138</c:v>
                </c:pt>
                <c:pt idx="43">
                  <c:v>0.92918763102725366</c:v>
                </c:pt>
                <c:pt idx="44">
                  <c:v>0.95079664570230615</c:v>
                </c:pt>
                <c:pt idx="45">
                  <c:v>0.97240566037735843</c:v>
                </c:pt>
                <c:pt idx="46">
                  <c:v>0.99401467505241103</c:v>
                </c:pt>
                <c:pt idx="47">
                  <c:v>1.0156236897274633</c:v>
                </c:pt>
                <c:pt idx="48">
                  <c:v>1.0372327044025158</c:v>
                </c:pt>
                <c:pt idx="49">
                  <c:v>1.0588417190775683</c:v>
                </c:pt>
                <c:pt idx="50">
                  <c:v>1.0804507337526208</c:v>
                </c:pt>
                <c:pt idx="51">
                  <c:v>1.1020597484276731</c:v>
                </c:pt>
                <c:pt idx="52">
                  <c:v>1.1236687631027256</c:v>
                </c:pt>
                <c:pt idx="53">
                  <c:v>1.1452777777777778</c:v>
                </c:pt>
                <c:pt idx="54">
                  <c:v>1.1668867924528303</c:v>
                </c:pt>
                <c:pt idx="55">
                  <c:v>1.1884958071278826</c:v>
                </c:pt>
                <c:pt idx="56">
                  <c:v>1.2101048218029351</c:v>
                </c:pt>
                <c:pt idx="57">
                  <c:v>1.2317138364779874</c:v>
                </c:pt>
                <c:pt idx="58">
                  <c:v>1.2533228511530399</c:v>
                </c:pt>
                <c:pt idx="59">
                  <c:v>1.2749318658280924</c:v>
                </c:pt>
                <c:pt idx="60">
                  <c:v>1.2965408805031446</c:v>
                </c:pt>
                <c:pt idx="61">
                  <c:v>1.3181498951781971</c:v>
                </c:pt>
                <c:pt idx="62">
                  <c:v>1.3397589098532496</c:v>
                </c:pt>
                <c:pt idx="63">
                  <c:v>1.3613679245283019</c:v>
                </c:pt>
                <c:pt idx="64">
                  <c:v>1.3829769392033544</c:v>
                </c:pt>
                <c:pt idx="65">
                  <c:v>1.4045859538784067</c:v>
                </c:pt>
                <c:pt idx="66">
                  <c:v>1.4261949685534594</c:v>
                </c:pt>
                <c:pt idx="67">
                  <c:v>1.4478039832285117</c:v>
                </c:pt>
                <c:pt idx="68">
                  <c:v>1.4694129979035642</c:v>
                </c:pt>
                <c:pt idx="69">
                  <c:v>1.4910220125786164</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numCache>
            </c:numRef>
          </c:val>
          <c:smooth val="0"/>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Dual'!$AI$5:$AI$105</c:f>
              <c:numCache>
                <c:formatCode>0.000</c:formatCode>
                <c:ptCount val="101"/>
                <c:pt idx="0">
                  <c:v>0.3</c:v>
                </c:pt>
                <c:pt idx="1">
                  <c:v>0.3</c:v>
                </c:pt>
                <c:pt idx="2">
                  <c:v>0.3</c:v>
                </c:pt>
                <c:pt idx="3">
                  <c:v>0.3</c:v>
                </c:pt>
                <c:pt idx="4">
                  <c:v>0.3</c:v>
                </c:pt>
                <c:pt idx="5">
                  <c:v>0.3</c:v>
                </c:pt>
                <c:pt idx="6">
                  <c:v>0.3</c:v>
                </c:pt>
                <c:pt idx="7">
                  <c:v>0.3</c:v>
                </c:pt>
                <c:pt idx="8">
                  <c:v>0.31832897030168861</c:v>
                </c:pt>
                <c:pt idx="9">
                  <c:v>0.33763886032268264</c:v>
                </c:pt>
                <c:pt idx="10">
                  <c:v>0.35590260840104371</c:v>
                </c:pt>
                <c:pt idx="11">
                  <c:v>0.37327380477785116</c:v>
                </c:pt>
                <c:pt idx="12">
                  <c:v>0.38987177379235854</c:v>
                </c:pt>
                <c:pt idx="13">
                  <c:v>0.40579140782755208</c:v>
                </c:pt>
                <c:pt idx="14">
                  <c:v>0.42110964526276684</c:v>
                </c:pt>
                <c:pt idx="15">
                  <c:v>0.43588989435406733</c:v>
                </c:pt>
                <c:pt idx="16">
                  <c:v>0.45018514709691021</c:v>
                </c:pt>
                <c:pt idx="17">
                  <c:v>0.46404022814119611</c:v>
                </c:pt>
                <c:pt idx="18">
                  <c:v>0.47749345545253286</c:v>
                </c:pt>
                <c:pt idx="19">
                  <c:v>0.49057789051960615</c:v>
                </c:pt>
                <c:pt idx="20">
                  <c:v>0.50332229568471665</c:v>
                </c:pt>
                <c:pt idx="21">
                  <c:v>0.51575187832910507</c:v>
                </c:pt>
                <c:pt idx="22">
                  <c:v>0.52788887719544408</c:v>
                </c:pt>
                <c:pt idx="23">
                  <c:v>0.53975302994363383</c:v>
                </c:pt>
                <c:pt idx="24">
                  <c:v>0.55136195008360889</c:v>
                </c:pt>
                <c:pt idx="25">
                  <c:v>0.56273143387113778</c:v>
                </c:pt>
                <c:pt idx="26">
                  <c:v>0.57387571244419588</c:v>
                </c:pt>
                <c:pt idx="27">
                  <c:v>0.58480766068853784</c:v>
                </c:pt>
                <c:pt idx="28">
                  <c:v>0.59553897157672786</c:v>
                </c:pt>
                <c:pt idx="29">
                  <c:v>0.60608030271023761</c:v>
                </c:pt>
                <c:pt idx="30">
                  <c:v>0.61644140029689765</c:v>
                </c:pt>
                <c:pt idx="31">
                  <c:v>0.62663120467039202</c:v>
                </c:pt>
                <c:pt idx="32">
                  <c:v>0.63665794060337721</c:v>
                </c:pt>
                <c:pt idx="33">
                  <c:v>0.64652919500978456</c:v>
                </c:pt>
                <c:pt idx="34">
                  <c:v>0.65625198412398478</c:v>
                </c:pt>
                <c:pt idx="35">
                  <c:v>0.66583281184793919</c:v>
                </c:pt>
                <c:pt idx="36">
                  <c:v>0.67527772064536529</c:v>
                </c:pt>
                <c:pt idx="37">
                  <c:v>0.68459233611446946</c:v>
                </c:pt>
                <c:pt idx="38">
                  <c:v>0.69378190617321045</c:v>
                </c:pt>
                <c:pt idx="39">
                  <c:v>0.70285133563222324</c:v>
                </c:pt>
                <c:pt idx="40">
                  <c:v>0.71180521680208741</c:v>
                </c:pt>
                <c:pt idx="41">
                  <c:v>0.7206478566771245</c:v>
                </c:pt>
                <c:pt idx="42">
                  <c:v>0.72938330115241878</c:v>
                </c:pt>
                <c:pt idx="43">
                  <c:v>0.73801535666046048</c:v>
                </c:pt>
                <c:pt idx="44">
                  <c:v>0.74654760955570232</c:v>
                </c:pt>
                <c:pt idx="45">
                  <c:v>0.75498344352707492</c:v>
                </c:pt>
                <c:pt idx="46">
                  <c:v>0.76332605527825836</c:v>
                </c:pt>
                <c:pt idx="47">
                  <c:v>0.77157846868178825</c:v>
                </c:pt>
                <c:pt idx="48">
                  <c:v>0.77974354758471709</c:v>
                </c:pt>
                <c:pt idx="49">
                  <c:v>0.78782400741959291</c:v>
                </c:pt>
                <c:pt idx="50">
                  <c:v>0.79582242575422146</c:v>
                </c:pt>
                <c:pt idx="51">
                  <c:v>0.80374125189640477</c:v>
                </c:pt>
                <c:pt idx="52">
                  <c:v>0.81158281565510415</c:v>
                </c:pt>
                <c:pt idx="53">
                  <c:v>0.81934933534685517</c:v>
                </c:pt>
                <c:pt idx="54">
                  <c:v>0.82704292512541333</c:v>
                </c:pt>
                <c:pt idx="55">
                  <c:v>0.83466560170326098</c:v>
                </c:pt>
                <c:pt idx="56">
                  <c:v>0.84221929052553368</c:v>
                </c:pt>
                <c:pt idx="57">
                  <c:v>0.84970583144992007</c:v>
                </c:pt>
                <c:pt idx="58">
                  <c:v>0.85712698398000897</c:v>
                </c:pt>
                <c:pt idx="59">
                  <c:v>0.86448443209425885</c:v>
                </c:pt>
                <c:pt idx="60">
                  <c:v>0.87177978870813466</c:v>
                </c:pt>
                <c:pt idx="61">
                  <c:v>0.87901459980290808</c:v>
                </c:pt>
                <c:pt idx="62">
                  <c:v>0.88619034825105902</c:v>
                </c:pt>
                <c:pt idx="63">
                  <c:v>0.89330845736509179</c:v>
                </c:pt>
                <c:pt idx="64">
                  <c:v>0.90037029419382042</c:v>
                </c:pt>
                <c:pt idx="65">
                  <c:v>0.90737717258774664</c:v>
                </c:pt>
                <c:pt idx="66">
                  <c:v>0.91433035605299684</c:v>
                </c:pt>
                <c:pt idx="67">
                  <c:v>0.92123106041137515</c:v>
                </c:pt>
                <c:pt idx="68">
                  <c:v>0.92808045628239222</c:v>
                </c:pt>
                <c:pt idx="69">
                  <c:v>0.93487967140161943</c:v>
                </c:pt>
                <c:pt idx="70">
                  <c:v>0.94162979278836889</c:v>
                </c:pt>
                <c:pt idx="71">
                  <c:v>0.94833186877449882</c:v>
                </c:pt>
                <c:pt idx="72">
                  <c:v>0.95498691090506571</c:v>
                </c:pt>
                <c:pt idx="73">
                  <c:v>0.96159589572058113</c:v>
                </c:pt>
                <c:pt idx="74">
                  <c:v>0.96815976642976309</c:v>
                </c:pt>
                <c:pt idx="75">
                  <c:v>0.97467943448089633</c:v>
                </c:pt>
                <c:pt idx="76">
                  <c:v>0.9811557810392123</c:v>
                </c:pt>
                <c:pt idx="77">
                  <c:v>0.98758965837706769</c:v>
                </c:pt>
                <c:pt idx="78">
                  <c:v>0.99398189118313418</c:v>
                </c:pt>
                <c:pt idx="79">
                  <c:v>1.0003332777962886</c:v>
                </c:pt>
                <c:pt idx="80">
                  <c:v>1.0066445913694333</c:v>
                </c:pt>
                <c:pt idx="81">
                  <c:v>1.012916580968048</c:v>
                </c:pt>
                <c:pt idx="82">
                  <c:v>1.0191499726078919</c:v>
                </c:pt>
                <c:pt idx="83">
                  <c:v>1.2824834032145349</c:v>
                </c:pt>
                <c:pt idx="84">
                  <c:v>1.2979350104821803</c:v>
                </c:pt>
                <c:pt idx="85">
                  <c:v>1.3133866177498252</c:v>
                </c:pt>
                <c:pt idx="86">
                  <c:v>1.3288382250174702</c:v>
                </c:pt>
                <c:pt idx="87">
                  <c:v>1.3442898322851151</c:v>
                </c:pt>
                <c:pt idx="88">
                  <c:v>1.3597414395527603</c:v>
                </c:pt>
                <c:pt idx="89">
                  <c:v>1.3751930468204052</c:v>
                </c:pt>
                <c:pt idx="90">
                  <c:v>1.3906446540880502</c:v>
                </c:pt>
                <c:pt idx="91">
                  <c:v>1.4060962613556953</c:v>
                </c:pt>
                <c:pt idx="92">
                  <c:v>1.4215478686233403</c:v>
                </c:pt>
                <c:pt idx="93">
                  <c:v>1.4369994758909852</c:v>
                </c:pt>
                <c:pt idx="94">
                  <c:v>1.4524510831586301</c:v>
                </c:pt>
                <c:pt idx="95">
                  <c:v>1.4679026904262753</c:v>
                </c:pt>
                <c:pt idx="96">
                  <c:v>1.4833542976939202</c:v>
                </c:pt>
                <c:pt idx="97">
                  <c:v>1.4988059049615652</c:v>
                </c:pt>
                <c:pt idx="98">
                  <c:v>1.5</c:v>
                </c:pt>
                <c:pt idx="99">
                  <c:v>1.5</c:v>
                </c:pt>
                <c:pt idx="100">
                  <c:v>1.5</c:v>
                </c:pt>
              </c:numCache>
            </c:numRef>
          </c:val>
          <c:smooth val="0"/>
        </c:ser>
        <c:ser>
          <c:idx val="2"/>
          <c:order val="2"/>
          <c:tx>
            <c:v>VIN-max</c:v>
          </c:tx>
          <c:spPr>
            <a:ln>
              <a:solidFill>
                <a:srgbClr val="FF0000"/>
              </a:solidFill>
              <a:prstDash val="solid"/>
            </a:ln>
          </c:spPr>
          <c:marker>
            <c:symbol val="none"/>
          </c:marker>
          <c:val>
            <c:numRef>
              <c:f>'Calculations - Dual'!$AI$216:$AI$316</c:f>
              <c:numCache>
                <c:formatCode>0.000</c:formatCode>
                <c:ptCount val="101"/>
                <c:pt idx="0">
                  <c:v>0.3</c:v>
                </c:pt>
                <c:pt idx="1">
                  <c:v>0.3</c:v>
                </c:pt>
                <c:pt idx="2">
                  <c:v>0.3</c:v>
                </c:pt>
                <c:pt idx="3">
                  <c:v>0.3</c:v>
                </c:pt>
                <c:pt idx="4">
                  <c:v>0.3</c:v>
                </c:pt>
                <c:pt idx="5">
                  <c:v>0.3</c:v>
                </c:pt>
                <c:pt idx="6">
                  <c:v>0.3</c:v>
                </c:pt>
                <c:pt idx="7">
                  <c:v>0.3</c:v>
                </c:pt>
                <c:pt idx="8">
                  <c:v>0.31832897030168861</c:v>
                </c:pt>
                <c:pt idx="9">
                  <c:v>0.33763886032268264</c:v>
                </c:pt>
                <c:pt idx="10">
                  <c:v>0.35590260840104371</c:v>
                </c:pt>
                <c:pt idx="11">
                  <c:v>0.37327380477785116</c:v>
                </c:pt>
                <c:pt idx="12">
                  <c:v>0.38987177379235854</c:v>
                </c:pt>
                <c:pt idx="13">
                  <c:v>0.40579140782755208</c:v>
                </c:pt>
                <c:pt idx="14">
                  <c:v>0.42110964526276684</c:v>
                </c:pt>
                <c:pt idx="15">
                  <c:v>0.43588989435406733</c:v>
                </c:pt>
                <c:pt idx="16">
                  <c:v>0.45018514709691021</c:v>
                </c:pt>
                <c:pt idx="17">
                  <c:v>0.46404022814119611</c:v>
                </c:pt>
                <c:pt idx="18">
                  <c:v>0.47749345545253286</c:v>
                </c:pt>
                <c:pt idx="19">
                  <c:v>0.49057789051960615</c:v>
                </c:pt>
                <c:pt idx="20">
                  <c:v>0.50332229568471665</c:v>
                </c:pt>
                <c:pt idx="21">
                  <c:v>0.51575187832910507</c:v>
                </c:pt>
                <c:pt idx="22">
                  <c:v>0.52788887719544408</c:v>
                </c:pt>
                <c:pt idx="23">
                  <c:v>0.53975302994363383</c:v>
                </c:pt>
                <c:pt idx="24">
                  <c:v>0.55136195008360889</c:v>
                </c:pt>
                <c:pt idx="25">
                  <c:v>0.56273143387113778</c:v>
                </c:pt>
                <c:pt idx="26">
                  <c:v>0.57387571244419588</c:v>
                </c:pt>
                <c:pt idx="27">
                  <c:v>0.58480766068853784</c:v>
                </c:pt>
                <c:pt idx="28">
                  <c:v>0.59553897157672786</c:v>
                </c:pt>
                <c:pt idx="29">
                  <c:v>0.60608030271023761</c:v>
                </c:pt>
                <c:pt idx="30">
                  <c:v>0.61644140029689765</c:v>
                </c:pt>
                <c:pt idx="31">
                  <c:v>0.62663120467039202</c:v>
                </c:pt>
                <c:pt idx="32">
                  <c:v>0.63665794060337721</c:v>
                </c:pt>
                <c:pt idx="33">
                  <c:v>0.64652919500978456</c:v>
                </c:pt>
                <c:pt idx="34">
                  <c:v>0.65625198412398478</c:v>
                </c:pt>
                <c:pt idx="35">
                  <c:v>0.66583281184793919</c:v>
                </c:pt>
                <c:pt idx="36">
                  <c:v>0.67527772064536529</c:v>
                </c:pt>
                <c:pt idx="37">
                  <c:v>0.68459233611446946</c:v>
                </c:pt>
                <c:pt idx="38">
                  <c:v>0.69378190617321045</c:v>
                </c:pt>
                <c:pt idx="39">
                  <c:v>0.70285133563222324</c:v>
                </c:pt>
                <c:pt idx="40">
                  <c:v>0.71180521680208741</c:v>
                </c:pt>
                <c:pt idx="41">
                  <c:v>0.7206478566771245</c:v>
                </c:pt>
                <c:pt idx="42">
                  <c:v>0.72938330115241878</c:v>
                </c:pt>
                <c:pt idx="43">
                  <c:v>0.73801535666046048</c:v>
                </c:pt>
                <c:pt idx="44">
                  <c:v>0.74654760955570232</c:v>
                </c:pt>
                <c:pt idx="45">
                  <c:v>0.75498344352707492</c:v>
                </c:pt>
                <c:pt idx="46">
                  <c:v>0.76332605527825836</c:v>
                </c:pt>
                <c:pt idx="47">
                  <c:v>0.77157846868178825</c:v>
                </c:pt>
                <c:pt idx="48">
                  <c:v>0.77974354758471709</c:v>
                </c:pt>
                <c:pt idx="49">
                  <c:v>0.78782400741959291</c:v>
                </c:pt>
                <c:pt idx="50">
                  <c:v>0.79582242575422146</c:v>
                </c:pt>
                <c:pt idx="51">
                  <c:v>0.80374125189640477</c:v>
                </c:pt>
                <c:pt idx="52">
                  <c:v>0.81158281565510415</c:v>
                </c:pt>
                <c:pt idx="53">
                  <c:v>0.81934933534685517</c:v>
                </c:pt>
                <c:pt idx="54">
                  <c:v>0.82704292512541333</c:v>
                </c:pt>
                <c:pt idx="55">
                  <c:v>0.83466560170326098</c:v>
                </c:pt>
                <c:pt idx="56">
                  <c:v>0.84221929052553368</c:v>
                </c:pt>
                <c:pt idx="57">
                  <c:v>0.84970583144992007</c:v>
                </c:pt>
                <c:pt idx="58">
                  <c:v>0.85712698398000897</c:v>
                </c:pt>
                <c:pt idx="59">
                  <c:v>0.86448443209425885</c:v>
                </c:pt>
                <c:pt idx="60">
                  <c:v>0.87177978870813466</c:v>
                </c:pt>
                <c:pt idx="61">
                  <c:v>0.87901459980290808</c:v>
                </c:pt>
                <c:pt idx="62">
                  <c:v>0.88619034825105902</c:v>
                </c:pt>
                <c:pt idx="63">
                  <c:v>0.89330845736509179</c:v>
                </c:pt>
                <c:pt idx="64">
                  <c:v>0.90037029419382042</c:v>
                </c:pt>
                <c:pt idx="65">
                  <c:v>0.90737717258774664</c:v>
                </c:pt>
                <c:pt idx="66">
                  <c:v>0.91433035605299684</c:v>
                </c:pt>
                <c:pt idx="67">
                  <c:v>0.92123106041137515</c:v>
                </c:pt>
                <c:pt idx="68">
                  <c:v>0.92808045628239222</c:v>
                </c:pt>
                <c:pt idx="69">
                  <c:v>0.93487967140161943</c:v>
                </c:pt>
                <c:pt idx="70">
                  <c:v>0.94162979278836889</c:v>
                </c:pt>
                <c:pt idx="71">
                  <c:v>0.94833186877449882</c:v>
                </c:pt>
                <c:pt idx="72">
                  <c:v>0.95498691090506571</c:v>
                </c:pt>
                <c:pt idx="73">
                  <c:v>0.96159589572058113</c:v>
                </c:pt>
                <c:pt idx="74">
                  <c:v>0.96815976642976309</c:v>
                </c:pt>
                <c:pt idx="75">
                  <c:v>0.97467943448089633</c:v>
                </c:pt>
                <c:pt idx="76">
                  <c:v>0.9811557810392123</c:v>
                </c:pt>
                <c:pt idx="77">
                  <c:v>0.98758965837706769</c:v>
                </c:pt>
                <c:pt idx="78">
                  <c:v>0.99398189118313418</c:v>
                </c:pt>
                <c:pt idx="79">
                  <c:v>1.0003332777962886</c:v>
                </c:pt>
                <c:pt idx="80">
                  <c:v>1.0066445913694333</c:v>
                </c:pt>
                <c:pt idx="81">
                  <c:v>1.012916580968048</c:v>
                </c:pt>
                <c:pt idx="82">
                  <c:v>1.0191499726078919</c:v>
                </c:pt>
                <c:pt idx="83">
                  <c:v>1.0253454702359266</c:v>
                </c:pt>
                <c:pt idx="84">
                  <c:v>1.0315037566582101</c:v>
                </c:pt>
                <c:pt idx="85">
                  <c:v>1.0376254944182253</c:v>
                </c:pt>
                <c:pt idx="86">
                  <c:v>1.04371132662884</c:v>
                </c:pt>
                <c:pt idx="87">
                  <c:v>1.0497618777608566</c:v>
                </c:pt>
                <c:pt idx="88">
                  <c:v>1.0557777543908882</c:v>
                </c:pt>
                <c:pt idx="89">
                  <c:v>1.0617595459110944</c:v>
                </c:pt>
                <c:pt idx="90">
                  <c:v>1.0677078252031311</c:v>
                </c:pt>
                <c:pt idx="91">
                  <c:v>1.0736231492784918</c:v>
                </c:pt>
                <c:pt idx="92">
                  <c:v>1.0795060598872677</c:v>
                </c:pt>
                <c:pt idx="93">
                  <c:v>1.0853570840972109</c:v>
                </c:pt>
                <c:pt idx="94">
                  <c:v>1.0911767348448493</c:v>
                </c:pt>
                <c:pt idx="95">
                  <c:v>1.096965511460289</c:v>
                </c:pt>
                <c:pt idx="96">
                  <c:v>1.1027239001672178</c:v>
                </c:pt>
                <c:pt idx="97">
                  <c:v>1.2001716457023062</c:v>
                </c:pt>
                <c:pt idx="98">
                  <c:v>1.2125445492662474</c:v>
                </c:pt>
                <c:pt idx="99">
                  <c:v>1.2249174528301887</c:v>
                </c:pt>
                <c:pt idx="100">
                  <c:v>1.23729035639413</c:v>
                </c:pt>
              </c:numCache>
            </c:numRef>
          </c:val>
          <c:smooth val="0"/>
        </c:ser>
        <c:dLbls>
          <c:showLegendKey val="0"/>
          <c:showVal val="0"/>
          <c:showCatName val="0"/>
          <c:showSerName val="0"/>
          <c:showPercent val="0"/>
          <c:showBubbleSize val="0"/>
        </c:dLbls>
        <c:marker val="1"/>
        <c:smooth val="0"/>
        <c:axId val="153419776"/>
        <c:axId val="153421696"/>
      </c:lineChart>
      <c:catAx>
        <c:axId val="153419776"/>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3421696"/>
        <c:crosses val="autoZero"/>
        <c:auto val="1"/>
        <c:lblAlgn val="ctr"/>
        <c:lblOffset val="100"/>
        <c:tickLblSkip val="20"/>
        <c:tickMarkSkip val="10"/>
        <c:noMultiLvlLbl val="0"/>
      </c:catAx>
      <c:valAx>
        <c:axId val="153421696"/>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341977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1.0224338624338625</c:v>
                </c:pt>
                <c:pt idx="2">
                  <c:v>1.0448677248677249</c:v>
                </c:pt>
                <c:pt idx="3">
                  <c:v>1.0673015873015872</c:v>
                </c:pt>
                <c:pt idx="4">
                  <c:v>1.0897354497354497</c:v>
                </c:pt>
                <c:pt idx="5">
                  <c:v>1.1121693121693121</c:v>
                </c:pt>
                <c:pt idx="6">
                  <c:v>1.1346031746031746</c:v>
                </c:pt>
                <c:pt idx="7">
                  <c:v>1.1570370370370371</c:v>
                </c:pt>
                <c:pt idx="8">
                  <c:v>1.1794708994708993</c:v>
                </c:pt>
                <c:pt idx="9">
                  <c:v>1.2278806372760611</c:v>
                </c:pt>
                <c:pt idx="10">
                  <c:v>1.2414093395563286</c:v>
                </c:pt>
                <c:pt idx="11">
                  <c:v>1.2542768924280379</c:v>
                </c:pt>
                <c:pt idx="12">
                  <c:v>1.2665716842906358</c:v>
                </c:pt>
                <c:pt idx="13">
                  <c:v>1.2783640057981867</c:v>
                </c:pt>
                <c:pt idx="14">
                  <c:v>1.2897108483427902</c:v>
                </c:pt>
                <c:pt idx="15">
                  <c:v>1.3006591810030128</c:v>
                </c:pt>
                <c:pt idx="16">
                  <c:v>1.3112482571088224</c:v>
                </c:pt>
                <c:pt idx="17">
                  <c:v>1.3215112801045896</c:v>
                </c:pt>
                <c:pt idx="18">
                  <c:v>1.3314766336685429</c:v>
                </c:pt>
                <c:pt idx="19">
                  <c:v>1.3411688077923007</c:v>
                </c:pt>
                <c:pt idx="20">
                  <c:v>1.3506091079146048</c:v>
                </c:pt>
                <c:pt idx="21">
                  <c:v>1.3598162061697074</c:v>
                </c:pt>
                <c:pt idx="22">
                  <c:v>1.3688065757003289</c:v>
                </c:pt>
                <c:pt idx="23">
                  <c:v>1.3775948369952844</c:v>
                </c:pt>
                <c:pt idx="24">
                  <c:v>1.3861940370989694</c:v>
                </c:pt>
                <c:pt idx="25">
                  <c:v>1.3946158769415835</c:v>
                </c:pt>
                <c:pt idx="26">
                  <c:v>1.4028708981068116</c:v>
                </c:pt>
                <c:pt idx="27">
                  <c:v>1.4109686375470649</c:v>
                </c:pt>
                <c:pt idx="28">
                  <c:v>1.4189177567235021</c:v>
                </c:pt>
                <c:pt idx="29">
                  <c:v>1.4267261501557316</c:v>
                </c:pt>
                <c:pt idx="30">
                  <c:v>1.4344010372569611</c:v>
                </c:pt>
                <c:pt idx="31">
                  <c:v>1.4419490404965867</c:v>
                </c:pt>
                <c:pt idx="32">
                  <c:v>1.4899914589642054</c:v>
                </c:pt>
                <c:pt idx="33">
                  <c:v>1.5059981365012813</c:v>
                </c:pt>
                <c:pt idx="34">
                  <c:v>1.5220048140383571</c:v>
                </c:pt>
                <c:pt idx="35">
                  <c:v>1.5380114915754328</c:v>
                </c:pt>
                <c:pt idx="36">
                  <c:v>1.5540181691125086</c:v>
                </c:pt>
                <c:pt idx="37">
                  <c:v>1.5700248466495847</c:v>
                </c:pt>
                <c:pt idx="38">
                  <c:v>1.5860315241866605</c:v>
                </c:pt>
                <c:pt idx="39">
                  <c:v>1.6020382017237365</c:v>
                </c:pt>
                <c:pt idx="40">
                  <c:v>1.6180448792608122</c:v>
                </c:pt>
                <c:pt idx="41">
                  <c:v>1.6340515567978879</c:v>
                </c:pt>
                <c:pt idx="42">
                  <c:v>1.6500582343349639</c:v>
                </c:pt>
                <c:pt idx="43">
                  <c:v>1.6660649118720396</c:v>
                </c:pt>
                <c:pt idx="44">
                  <c:v>1.6820715894091156</c:v>
                </c:pt>
                <c:pt idx="45">
                  <c:v>1.6980782669461916</c:v>
                </c:pt>
                <c:pt idx="46">
                  <c:v>1.7140849444832673</c:v>
                </c:pt>
                <c:pt idx="47">
                  <c:v>1.7300916220203431</c:v>
                </c:pt>
                <c:pt idx="48">
                  <c:v>1.746098299557419</c:v>
                </c:pt>
                <c:pt idx="49">
                  <c:v>1.762104977094495</c:v>
                </c:pt>
                <c:pt idx="50">
                  <c:v>1.7781116546315707</c:v>
                </c:pt>
                <c:pt idx="51">
                  <c:v>1.7941183321686465</c:v>
                </c:pt>
                <c:pt idx="52">
                  <c:v>1.8101250097057227</c:v>
                </c:pt>
                <c:pt idx="53">
                  <c:v>1.8261316872427984</c:v>
                </c:pt>
                <c:pt idx="54">
                  <c:v>1.8421383647798741</c:v>
                </c:pt>
                <c:pt idx="55">
                  <c:v>1.8581450423169499</c:v>
                </c:pt>
                <c:pt idx="56">
                  <c:v>1.8741517198540258</c:v>
                </c:pt>
                <c:pt idx="57">
                  <c:v>1.8901583973911018</c:v>
                </c:pt>
                <c:pt idx="58">
                  <c:v>1.9061650749281775</c:v>
                </c:pt>
                <c:pt idx="59">
                  <c:v>1.9221717524652535</c:v>
                </c:pt>
                <c:pt idx="60">
                  <c:v>1.9381784300023293</c:v>
                </c:pt>
                <c:pt idx="61">
                  <c:v>1.9541851075394052</c:v>
                </c:pt>
                <c:pt idx="62">
                  <c:v>1.9701917850764812</c:v>
                </c:pt>
                <c:pt idx="63">
                  <c:v>1.9861984626135569</c:v>
                </c:pt>
                <c:pt idx="64">
                  <c:v>2.0022051401506329</c:v>
                </c:pt>
                <c:pt idx="65">
                  <c:v>2.0182118176877086</c:v>
                </c:pt>
                <c:pt idx="66">
                  <c:v>2.0342184952247848</c:v>
                </c:pt>
                <c:pt idx="67">
                  <c:v>2.0502251727618606</c:v>
                </c:pt>
                <c:pt idx="68">
                  <c:v>2.0662318502989363</c:v>
                </c:pt>
                <c:pt idx="69">
                  <c:v>2.082238527836012</c:v>
                </c:pt>
                <c:pt idx="70">
                  <c:v>2.0888888888888886</c:v>
                </c:pt>
                <c:pt idx="71">
                  <c:v>2.0888888888888886</c:v>
                </c:pt>
                <c:pt idx="72">
                  <c:v>2.0888888888888886</c:v>
                </c:pt>
                <c:pt idx="73">
                  <c:v>2.0888888888888886</c:v>
                </c:pt>
                <c:pt idx="74">
                  <c:v>2.0888888888888886</c:v>
                </c:pt>
                <c:pt idx="75">
                  <c:v>2.0888888888888886</c:v>
                </c:pt>
                <c:pt idx="76">
                  <c:v>2.0888888888888886</c:v>
                </c:pt>
                <c:pt idx="77">
                  <c:v>2.0888888888888886</c:v>
                </c:pt>
                <c:pt idx="78">
                  <c:v>2.0888888888888886</c:v>
                </c:pt>
                <c:pt idx="79">
                  <c:v>2.0888888888888886</c:v>
                </c:pt>
                <c:pt idx="80">
                  <c:v>2.0888888888888886</c:v>
                </c:pt>
                <c:pt idx="81">
                  <c:v>2.0888888888888886</c:v>
                </c:pt>
                <c:pt idx="82">
                  <c:v>2.0888888888888886</c:v>
                </c:pt>
                <c:pt idx="83">
                  <c:v>2.0888888888888886</c:v>
                </c:pt>
                <c:pt idx="84">
                  <c:v>2.0888888888888886</c:v>
                </c:pt>
                <c:pt idx="85">
                  <c:v>2.0888888888888886</c:v>
                </c:pt>
                <c:pt idx="86">
                  <c:v>2.0888888888888886</c:v>
                </c:pt>
                <c:pt idx="87">
                  <c:v>2.0888888888888886</c:v>
                </c:pt>
                <c:pt idx="88">
                  <c:v>2.0888888888888886</c:v>
                </c:pt>
                <c:pt idx="89">
                  <c:v>2.0888888888888886</c:v>
                </c:pt>
                <c:pt idx="90">
                  <c:v>2.0888888888888886</c:v>
                </c:pt>
                <c:pt idx="91">
                  <c:v>2.0888888888888886</c:v>
                </c:pt>
                <c:pt idx="92">
                  <c:v>2.0888888888888886</c:v>
                </c:pt>
                <c:pt idx="93">
                  <c:v>2.0888888888888886</c:v>
                </c:pt>
                <c:pt idx="94">
                  <c:v>2.0888888888888886</c:v>
                </c:pt>
                <c:pt idx="95">
                  <c:v>2.0888888888888886</c:v>
                </c:pt>
                <c:pt idx="96">
                  <c:v>2.0888888888888886</c:v>
                </c:pt>
                <c:pt idx="97">
                  <c:v>2.0888888888888886</c:v>
                </c:pt>
                <c:pt idx="98">
                  <c:v>2.0888888888888886</c:v>
                </c:pt>
                <c:pt idx="99">
                  <c:v>2.0888888888888886</c:v>
                </c:pt>
                <c:pt idx="100">
                  <c:v>2.0888888888888886</c:v>
                </c:pt>
              </c:numCache>
            </c:numRef>
          </c:val>
          <c:smooth val="0"/>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Dual'!$AJ$5:$AJ$105</c:f>
              <c:numCache>
                <c:formatCode>0.000</c:formatCode>
                <c:ptCount val="101"/>
                <c:pt idx="0">
                  <c:v>1.0057142857142858</c:v>
                </c:pt>
                <c:pt idx="1">
                  <c:v>1.0224338624338625</c:v>
                </c:pt>
                <c:pt idx="2">
                  <c:v>1.0448677248677249</c:v>
                </c:pt>
                <c:pt idx="3">
                  <c:v>1.0673015873015872</c:v>
                </c:pt>
                <c:pt idx="4">
                  <c:v>1.0897354497354497</c:v>
                </c:pt>
                <c:pt idx="5">
                  <c:v>1.1121693121693121</c:v>
                </c:pt>
                <c:pt idx="6">
                  <c:v>1.1346031746031746</c:v>
                </c:pt>
                <c:pt idx="7">
                  <c:v>1.1570370370370371</c:v>
                </c:pt>
                <c:pt idx="8">
                  <c:v>1.1794708994708993</c:v>
                </c:pt>
                <c:pt idx="9">
                  <c:v>1.2278806372760611</c:v>
                </c:pt>
                <c:pt idx="10">
                  <c:v>1.2414093395563286</c:v>
                </c:pt>
                <c:pt idx="11">
                  <c:v>1.2542768924280379</c:v>
                </c:pt>
                <c:pt idx="12">
                  <c:v>1.2665716842906358</c:v>
                </c:pt>
                <c:pt idx="13">
                  <c:v>1.2783640057981867</c:v>
                </c:pt>
                <c:pt idx="14">
                  <c:v>1.2897108483427902</c:v>
                </c:pt>
                <c:pt idx="15">
                  <c:v>1.3006591810030128</c:v>
                </c:pt>
                <c:pt idx="16">
                  <c:v>1.3112482571088224</c:v>
                </c:pt>
                <c:pt idx="17">
                  <c:v>1.3215112801045896</c:v>
                </c:pt>
                <c:pt idx="18">
                  <c:v>1.3314766336685429</c:v>
                </c:pt>
                <c:pt idx="19">
                  <c:v>1.3411688077923007</c:v>
                </c:pt>
                <c:pt idx="20">
                  <c:v>1.3506091079146048</c:v>
                </c:pt>
                <c:pt idx="21">
                  <c:v>1.3598162061697074</c:v>
                </c:pt>
                <c:pt idx="22">
                  <c:v>1.3688065757003289</c:v>
                </c:pt>
                <c:pt idx="23">
                  <c:v>1.3775948369952844</c:v>
                </c:pt>
                <c:pt idx="24">
                  <c:v>1.3861940370989694</c:v>
                </c:pt>
                <c:pt idx="25">
                  <c:v>1.3946158769415835</c:v>
                </c:pt>
                <c:pt idx="26">
                  <c:v>1.4028708981068116</c:v>
                </c:pt>
                <c:pt idx="27">
                  <c:v>1.4109686375470649</c:v>
                </c:pt>
                <c:pt idx="28">
                  <c:v>1.4189177567235021</c:v>
                </c:pt>
                <c:pt idx="29">
                  <c:v>1.4267261501557316</c:v>
                </c:pt>
                <c:pt idx="30">
                  <c:v>1.4344010372569611</c:v>
                </c:pt>
                <c:pt idx="31">
                  <c:v>1.4419490404965867</c:v>
                </c:pt>
                <c:pt idx="32">
                  <c:v>1.4493762522987979</c:v>
                </c:pt>
                <c:pt idx="33">
                  <c:v>1.4566882925998403</c:v>
                </c:pt>
                <c:pt idx="34">
                  <c:v>1.4638903586103591</c:v>
                </c:pt>
                <c:pt idx="35">
                  <c:v>1.4709872680355105</c:v>
                </c:pt>
                <c:pt idx="36">
                  <c:v>1.4779834967743446</c:v>
                </c:pt>
                <c:pt idx="37">
                  <c:v>1.484883211936644</c:v>
                </c:pt>
                <c:pt idx="38">
                  <c:v>1.4916903008690447</c:v>
                </c:pt>
                <c:pt idx="39">
                  <c:v>1.4984083967646098</c:v>
                </c:pt>
                <c:pt idx="40">
                  <c:v>1.5050409013348796</c:v>
                </c:pt>
                <c:pt idx="41">
                  <c:v>1.5115910049460182</c:v>
                </c:pt>
                <c:pt idx="42">
                  <c:v>1.5180617045573472</c:v>
                </c:pt>
                <c:pt idx="43">
                  <c:v>1.5244558197484892</c:v>
                </c:pt>
                <c:pt idx="44">
                  <c:v>1.5307760070782979</c:v>
                </c:pt>
                <c:pt idx="45">
                  <c:v>1.5370247729830184</c:v>
                </c:pt>
                <c:pt idx="46">
                  <c:v>1.5432044853913025</c:v>
                </c:pt>
                <c:pt idx="47">
                  <c:v>1.549317384208732</c:v>
                </c:pt>
                <c:pt idx="48">
                  <c:v>1.5553655908034942</c:v>
                </c:pt>
                <c:pt idx="49">
                  <c:v>1.5613511166071059</c:v>
                </c:pt>
                <c:pt idx="50">
                  <c:v>1.5672758709290529</c:v>
                </c:pt>
                <c:pt idx="51">
                  <c:v>1.573141668071411</c:v>
                </c:pt>
                <c:pt idx="52">
                  <c:v>1.5789502338185957</c:v>
                </c:pt>
                <c:pt idx="53">
                  <c:v>1.5847032113680408</c:v>
                </c:pt>
                <c:pt idx="54">
                  <c:v>1.5904021667595654</c:v>
                </c:pt>
                <c:pt idx="55">
                  <c:v>1.5960485938542672</c:v>
                </c:pt>
                <c:pt idx="56">
                  <c:v>1.6016439189078027</c:v>
                </c:pt>
                <c:pt idx="57">
                  <c:v>1.6071895047777187</c:v>
                </c:pt>
                <c:pt idx="58">
                  <c:v>1.6126866548000067</c:v>
                </c:pt>
                <c:pt idx="59">
                  <c:v>1.6181366163661175</c:v>
                </c:pt>
                <c:pt idx="60">
                  <c:v>1.6235405842282478</c:v>
                </c:pt>
                <c:pt idx="61">
                  <c:v>1.6288997035577097</c:v>
                </c:pt>
                <c:pt idx="62">
                  <c:v>1.6342150727785623</c:v>
                </c:pt>
                <c:pt idx="63">
                  <c:v>1.6394877461963642</c:v>
                </c:pt>
                <c:pt idx="64">
                  <c:v>1.644718736439867</c:v>
                </c:pt>
                <c:pt idx="65">
                  <c:v>1.6499090167316641</c:v>
                </c:pt>
                <c:pt idx="66">
                  <c:v>1.6550595230022198</c:v>
                </c:pt>
                <c:pt idx="67">
                  <c:v>1.6601711558602779</c:v>
                </c:pt>
                <c:pt idx="68">
                  <c:v>1.6652447824314016</c:v>
                </c:pt>
                <c:pt idx="69">
                  <c:v>1.6702812380752736</c:v>
                </c:pt>
                <c:pt idx="70">
                  <c:v>1.6752813279913843</c:v>
                </c:pt>
                <c:pt idx="71">
                  <c:v>1.6802458287218509</c:v>
                </c:pt>
                <c:pt idx="72">
                  <c:v>1.6851754895593078</c:v>
                </c:pt>
                <c:pt idx="73">
                  <c:v>1.6900710338670972</c:v>
                </c:pt>
                <c:pt idx="74">
                  <c:v>1.6949331603183431</c:v>
                </c:pt>
                <c:pt idx="75">
                  <c:v>1.6997625440599231</c:v>
                </c:pt>
                <c:pt idx="76">
                  <c:v>1.7045598378068241</c:v>
                </c:pt>
                <c:pt idx="77">
                  <c:v>1.709325672871902</c:v>
                </c:pt>
                <c:pt idx="78">
                  <c:v>1.7140606601356549</c:v>
                </c:pt>
                <c:pt idx="79">
                  <c:v>1.7187653909602136</c:v>
                </c:pt>
                <c:pt idx="80">
                  <c:v>1.7234404380514321</c:v>
                </c:pt>
                <c:pt idx="81">
                  <c:v>1.7280863562726281</c:v>
                </c:pt>
                <c:pt idx="82">
                  <c:v>1.732703683413253</c:v>
                </c:pt>
                <c:pt idx="83">
                  <c:v>1.9277654838626184</c:v>
                </c:pt>
                <c:pt idx="84">
                  <c:v>1.9392111188756891</c:v>
                </c:pt>
                <c:pt idx="85">
                  <c:v>1.9506567538887594</c:v>
                </c:pt>
                <c:pt idx="86">
                  <c:v>1.9621023889018296</c:v>
                </c:pt>
                <c:pt idx="87">
                  <c:v>1.9735480239148999</c:v>
                </c:pt>
                <c:pt idx="88">
                  <c:v>1.9849936589279704</c:v>
                </c:pt>
                <c:pt idx="89">
                  <c:v>1.9964392939410409</c:v>
                </c:pt>
                <c:pt idx="90">
                  <c:v>2.0078849289541112</c:v>
                </c:pt>
                <c:pt idx="91">
                  <c:v>2.0193305639671815</c:v>
                </c:pt>
                <c:pt idx="92">
                  <c:v>2.0307761989802522</c:v>
                </c:pt>
                <c:pt idx="93">
                  <c:v>2.042221833993322</c:v>
                </c:pt>
                <c:pt idx="94">
                  <c:v>2.0536674690063927</c:v>
                </c:pt>
                <c:pt idx="95">
                  <c:v>2.065113104019463</c:v>
                </c:pt>
                <c:pt idx="96">
                  <c:v>2.0765587390325333</c:v>
                </c:pt>
                <c:pt idx="97">
                  <c:v>2.0880043740456036</c:v>
                </c:pt>
                <c:pt idx="98">
                  <c:v>2.0888888888888886</c:v>
                </c:pt>
                <c:pt idx="99">
                  <c:v>2.0888888888888886</c:v>
                </c:pt>
                <c:pt idx="100">
                  <c:v>2.0888888888888886</c:v>
                </c:pt>
              </c:numCache>
            </c:numRef>
          </c:val>
          <c:smooth val="0"/>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1.0224338624338625</c:v>
                </c:pt>
                <c:pt idx="2">
                  <c:v>1.0448677248677249</c:v>
                </c:pt>
                <c:pt idx="3">
                  <c:v>1.0673015873015872</c:v>
                </c:pt>
                <c:pt idx="4">
                  <c:v>1.0897354497354497</c:v>
                </c:pt>
                <c:pt idx="5">
                  <c:v>1.1121693121693121</c:v>
                </c:pt>
                <c:pt idx="6">
                  <c:v>1.1346031746031746</c:v>
                </c:pt>
                <c:pt idx="7">
                  <c:v>1.1570370370370371</c:v>
                </c:pt>
                <c:pt idx="8">
                  <c:v>1.1794708994708993</c:v>
                </c:pt>
                <c:pt idx="9">
                  <c:v>1.2278806372760611</c:v>
                </c:pt>
                <c:pt idx="10">
                  <c:v>1.2414093395563286</c:v>
                </c:pt>
                <c:pt idx="11">
                  <c:v>1.2542768924280379</c:v>
                </c:pt>
                <c:pt idx="12">
                  <c:v>1.2665716842906358</c:v>
                </c:pt>
                <c:pt idx="13">
                  <c:v>1.2783640057981867</c:v>
                </c:pt>
                <c:pt idx="14">
                  <c:v>1.2897108483427902</c:v>
                </c:pt>
                <c:pt idx="15">
                  <c:v>1.3006591810030128</c:v>
                </c:pt>
                <c:pt idx="16">
                  <c:v>1.3112482571088224</c:v>
                </c:pt>
                <c:pt idx="17">
                  <c:v>1.3215112801045896</c:v>
                </c:pt>
                <c:pt idx="18">
                  <c:v>1.3314766336685429</c:v>
                </c:pt>
                <c:pt idx="19">
                  <c:v>1.3411688077923007</c:v>
                </c:pt>
                <c:pt idx="20">
                  <c:v>1.3506091079146048</c:v>
                </c:pt>
                <c:pt idx="21">
                  <c:v>1.3598162061697074</c:v>
                </c:pt>
                <c:pt idx="22">
                  <c:v>1.3688065757003289</c:v>
                </c:pt>
                <c:pt idx="23">
                  <c:v>1.3775948369952844</c:v>
                </c:pt>
                <c:pt idx="24">
                  <c:v>1.3861940370989694</c:v>
                </c:pt>
                <c:pt idx="25">
                  <c:v>1.3946158769415835</c:v>
                </c:pt>
                <c:pt idx="26">
                  <c:v>1.4028708981068116</c:v>
                </c:pt>
                <c:pt idx="27">
                  <c:v>1.4109686375470649</c:v>
                </c:pt>
                <c:pt idx="28">
                  <c:v>1.4189177567235021</c:v>
                </c:pt>
                <c:pt idx="29">
                  <c:v>1.4267261501557316</c:v>
                </c:pt>
                <c:pt idx="30">
                  <c:v>1.4344010372569611</c:v>
                </c:pt>
                <c:pt idx="31">
                  <c:v>1.4419490404965867</c:v>
                </c:pt>
                <c:pt idx="32">
                  <c:v>1.4493762522987979</c:v>
                </c:pt>
                <c:pt idx="33">
                  <c:v>1.4566882925998403</c:v>
                </c:pt>
                <c:pt idx="34">
                  <c:v>1.4638903586103591</c:v>
                </c:pt>
                <c:pt idx="35">
                  <c:v>1.4709872680355105</c:v>
                </c:pt>
                <c:pt idx="36">
                  <c:v>1.4779834967743446</c:v>
                </c:pt>
                <c:pt idx="37">
                  <c:v>1.484883211936644</c:v>
                </c:pt>
                <c:pt idx="38">
                  <c:v>1.4916903008690447</c:v>
                </c:pt>
                <c:pt idx="39">
                  <c:v>1.4984083967646098</c:v>
                </c:pt>
                <c:pt idx="40">
                  <c:v>1.5050409013348796</c:v>
                </c:pt>
                <c:pt idx="41">
                  <c:v>1.5115910049460182</c:v>
                </c:pt>
                <c:pt idx="42">
                  <c:v>1.5180617045573472</c:v>
                </c:pt>
                <c:pt idx="43">
                  <c:v>1.5244558197484892</c:v>
                </c:pt>
                <c:pt idx="44">
                  <c:v>1.5307760070782979</c:v>
                </c:pt>
                <c:pt idx="45">
                  <c:v>1.5370247729830184</c:v>
                </c:pt>
                <c:pt idx="46">
                  <c:v>1.5432044853913025</c:v>
                </c:pt>
                <c:pt idx="47">
                  <c:v>1.549317384208732</c:v>
                </c:pt>
                <c:pt idx="48">
                  <c:v>1.5553655908034942</c:v>
                </c:pt>
                <c:pt idx="49">
                  <c:v>1.5613511166071059</c:v>
                </c:pt>
                <c:pt idx="50">
                  <c:v>1.5672758709290529</c:v>
                </c:pt>
                <c:pt idx="51">
                  <c:v>1.573141668071411</c:v>
                </c:pt>
                <c:pt idx="52">
                  <c:v>1.5789502338185957</c:v>
                </c:pt>
                <c:pt idx="53">
                  <c:v>1.5847032113680408</c:v>
                </c:pt>
                <c:pt idx="54">
                  <c:v>1.5904021667595654</c:v>
                </c:pt>
                <c:pt idx="55">
                  <c:v>1.5960485938542672</c:v>
                </c:pt>
                <c:pt idx="56">
                  <c:v>1.6016439189078027</c:v>
                </c:pt>
                <c:pt idx="57">
                  <c:v>1.6071895047777187</c:v>
                </c:pt>
                <c:pt idx="58">
                  <c:v>1.6126866548000067</c:v>
                </c:pt>
                <c:pt idx="59">
                  <c:v>1.6181366163661175</c:v>
                </c:pt>
                <c:pt idx="60">
                  <c:v>1.6235405842282478</c:v>
                </c:pt>
                <c:pt idx="61">
                  <c:v>1.6288997035577097</c:v>
                </c:pt>
                <c:pt idx="62">
                  <c:v>1.6342150727785623</c:v>
                </c:pt>
                <c:pt idx="63">
                  <c:v>1.6394877461963642</c:v>
                </c:pt>
                <c:pt idx="64">
                  <c:v>1.644718736439867</c:v>
                </c:pt>
                <c:pt idx="65">
                  <c:v>1.6499090167316641</c:v>
                </c:pt>
                <c:pt idx="66">
                  <c:v>1.6550595230022198</c:v>
                </c:pt>
                <c:pt idx="67">
                  <c:v>1.6601711558602779</c:v>
                </c:pt>
                <c:pt idx="68">
                  <c:v>1.6652447824314016</c:v>
                </c:pt>
                <c:pt idx="69">
                  <c:v>1.6702812380752736</c:v>
                </c:pt>
                <c:pt idx="70">
                  <c:v>1.6752813279913843</c:v>
                </c:pt>
                <c:pt idx="71">
                  <c:v>1.6802458287218509</c:v>
                </c:pt>
                <c:pt idx="72">
                  <c:v>1.6851754895593078</c:v>
                </c:pt>
                <c:pt idx="73">
                  <c:v>1.6900710338670972</c:v>
                </c:pt>
                <c:pt idx="74">
                  <c:v>1.6949331603183431</c:v>
                </c:pt>
                <c:pt idx="75">
                  <c:v>1.6997625440599231</c:v>
                </c:pt>
                <c:pt idx="76">
                  <c:v>1.7045598378068241</c:v>
                </c:pt>
                <c:pt idx="77">
                  <c:v>1.709325672871902</c:v>
                </c:pt>
                <c:pt idx="78">
                  <c:v>1.7140606601356549</c:v>
                </c:pt>
                <c:pt idx="79">
                  <c:v>1.7187653909602136</c:v>
                </c:pt>
                <c:pt idx="80">
                  <c:v>1.7234404380514321</c:v>
                </c:pt>
                <c:pt idx="81">
                  <c:v>1.7280863562726281</c:v>
                </c:pt>
                <c:pt idx="82">
                  <c:v>1.732703683413253</c:v>
                </c:pt>
                <c:pt idx="83">
                  <c:v>1.7372929409155011</c:v>
                </c:pt>
                <c:pt idx="84">
                  <c:v>1.741854634561637</c:v>
                </c:pt>
                <c:pt idx="85">
                  <c:v>1.7463892551246112</c:v>
                </c:pt>
                <c:pt idx="86">
                  <c:v>1.750897278984326</c:v>
                </c:pt>
                <c:pt idx="87">
                  <c:v>1.7553791687117455</c:v>
                </c:pt>
                <c:pt idx="88">
                  <c:v>1.75983537362288</c:v>
                </c:pt>
                <c:pt idx="89">
                  <c:v>1.7642663303045143</c:v>
                </c:pt>
                <c:pt idx="90">
                  <c:v>1.7686724631134303</c:v>
                </c:pt>
                <c:pt idx="91">
                  <c:v>1.7730541846507344</c:v>
                </c:pt>
                <c:pt idx="92">
                  <c:v>1.7774118962127907</c:v>
                </c:pt>
                <c:pt idx="93">
                  <c:v>1.7817459882201561</c:v>
                </c:pt>
                <c:pt idx="94">
                  <c:v>1.7860568406258142</c:v>
                </c:pt>
                <c:pt idx="95">
                  <c:v>1.7903448233039176</c:v>
                </c:pt>
                <c:pt idx="96">
                  <c:v>1.7946102964201613</c:v>
                </c:pt>
                <c:pt idx="97">
                  <c:v>1.8667938116313378</c:v>
                </c:pt>
                <c:pt idx="98">
                  <c:v>1.8759589253824054</c:v>
                </c:pt>
                <c:pt idx="99">
                  <c:v>1.8851240391334732</c:v>
                </c:pt>
                <c:pt idx="100">
                  <c:v>1.8942891528845407</c:v>
                </c:pt>
              </c:numCache>
            </c:numRef>
          </c:val>
          <c:smooth val="0"/>
        </c:ser>
        <c:dLbls>
          <c:showLegendKey val="0"/>
          <c:showVal val="0"/>
          <c:showCatName val="0"/>
          <c:showSerName val="0"/>
          <c:showPercent val="0"/>
          <c:showBubbleSize val="0"/>
        </c:dLbls>
        <c:marker val="1"/>
        <c:smooth val="0"/>
        <c:axId val="153451904"/>
        <c:axId val="153478656"/>
      </c:lineChart>
      <c:catAx>
        <c:axId val="153451904"/>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3478656"/>
        <c:crosses val="autoZero"/>
        <c:auto val="1"/>
        <c:lblAlgn val="ctr"/>
        <c:lblOffset val="100"/>
        <c:tickLblSkip val="20"/>
        <c:tickMarkSkip val="10"/>
        <c:noMultiLvlLbl val="0"/>
      </c:catAx>
      <c:valAx>
        <c:axId val="153478656"/>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3451904"/>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Dual'!$CB$5:$CB$105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Dual'!$CA$5:$CA$105</c:f>
              <c:numCache>
                <c:formatCode>0.00</c:formatCode>
                <c:ptCount val="101"/>
                <c:pt idx="0">
                  <c:v>2.9508562113492772E-5</c:v>
                </c:pt>
                <c:pt idx="1">
                  <c:v>62.706815709875329</c:v>
                </c:pt>
                <c:pt idx="2">
                  <c:v>71.518458799526584</c:v>
                </c:pt>
                <c:pt idx="3">
                  <c:v>74.997354893352536</c:v>
                </c:pt>
                <c:pt idx="4">
                  <c:v>76.832421148869102</c:v>
                </c:pt>
                <c:pt idx="5">
                  <c:v>77.944433520233559</c:v>
                </c:pt>
                <c:pt idx="6">
                  <c:v>78.672724049390382</c:v>
                </c:pt>
                <c:pt idx="7">
                  <c:v>79.171743627458511</c:v>
                </c:pt>
                <c:pt idx="8">
                  <c:v>78.909878106025417</c:v>
                </c:pt>
                <c:pt idx="9">
                  <c:v>78.608380954861275</c:v>
                </c:pt>
                <c:pt idx="10">
                  <c:v>79.183318955650506</c:v>
                </c:pt>
                <c:pt idx="11">
                  <c:v>79.66568461857949</c:v>
                </c:pt>
                <c:pt idx="12">
                  <c:v>80.076561709097533</c:v>
                </c:pt>
                <c:pt idx="13">
                  <c:v>80.431016602237534</c:v>
                </c:pt>
                <c:pt idx="14">
                  <c:v>80.740114507854571</c:v>
                </c:pt>
                <c:pt idx="15">
                  <c:v>81.012173011719796</c:v>
                </c:pt>
                <c:pt idx="16">
                  <c:v>81.253570366941702</c:v>
                </c:pt>
                <c:pt idx="17">
                  <c:v>81.469283194721655</c:v>
                </c:pt>
                <c:pt idx="18">
                  <c:v>81.663253967793025</c:v>
                </c:pt>
                <c:pt idx="19">
                  <c:v>81.838648161032822</c:v>
                </c:pt>
                <c:pt idx="20">
                  <c:v>81.998037982057198</c:v>
                </c:pt>
                <c:pt idx="21">
                  <c:v>82.143536096804937</c:v>
                </c:pt>
                <c:pt idx="22">
                  <c:v>82.27689458539173</c:v>
                </c:pt>
                <c:pt idx="23">
                  <c:v>82.399579268800522</c:v>
                </c:pt>
                <c:pt idx="24">
                  <c:v>82.512826294967752</c:v>
                </c:pt>
                <c:pt idx="25">
                  <c:v>82.617685750717854</c:v>
                </c:pt>
                <c:pt idx="26">
                  <c:v>82.715055653271847</c:v>
                </c:pt>
                <c:pt idx="27">
                  <c:v>82.805708717338689</c:v>
                </c:pt>
                <c:pt idx="28">
                  <c:v>82.890313633674907</c:v>
                </c:pt>
                <c:pt idx="29">
                  <c:v>82.969452133019644</c:v>
                </c:pt>
                <c:pt idx="30">
                  <c:v>83.043632781438077</c:v>
                </c:pt>
                <c:pt idx="31">
                  <c:v>83.113302217377168</c:v>
                </c:pt>
                <c:pt idx="32">
                  <c:v>83.178854369212701</c:v>
                </c:pt>
                <c:pt idx="33">
                  <c:v>83.240638065856814</c:v>
                </c:pt>
                <c:pt idx="34">
                  <c:v>83.29896335916321</c:v>
                </c:pt>
                <c:pt idx="35">
                  <c:v>83.354106806423175</c:v>
                </c:pt>
                <c:pt idx="36">
                  <c:v>83.406315907878763</c:v>
                </c:pt>
                <c:pt idx="37">
                  <c:v>83.455812853404495</c:v>
                </c:pt>
                <c:pt idx="38">
                  <c:v>83.502797701102622</c:v>
                </c:pt>
                <c:pt idx="39">
                  <c:v>83.547451086185077</c:v>
                </c:pt>
                <c:pt idx="40">
                  <c:v>83.589936539465782</c:v>
                </c:pt>
                <c:pt idx="41">
                  <c:v>83.630402479797752</c:v>
                </c:pt>
                <c:pt idx="42">
                  <c:v>83.668983932919716</c:v>
                </c:pt>
                <c:pt idx="43">
                  <c:v>83.70580401971965</c:v>
                </c:pt>
                <c:pt idx="44">
                  <c:v>83.740975249345965</c:v>
                </c:pt>
                <c:pt idx="45">
                  <c:v>83.77460064649128</c:v>
                </c:pt>
                <c:pt idx="46">
                  <c:v>83.806774737230654</c:v>
                </c:pt>
                <c:pt idx="47">
                  <c:v>83.837584413771665</c:v>
                </c:pt>
                <c:pt idx="48">
                  <c:v>83.867109695184041</c:v>
                </c:pt>
                <c:pt idx="49">
                  <c:v>83.895424398473637</c:v>
                </c:pt>
                <c:pt idx="50">
                  <c:v>83.922596732136228</c:v>
                </c:pt>
                <c:pt idx="51">
                  <c:v>83.948689822479608</c:v>
                </c:pt>
                <c:pt idx="52">
                  <c:v>83.973762181467009</c:v>
                </c:pt>
                <c:pt idx="53">
                  <c:v>83.997868123552166</c:v>
                </c:pt>
                <c:pt idx="54">
                  <c:v>84.021058137902514</c:v>
                </c:pt>
                <c:pt idx="55">
                  <c:v>84.043379221504381</c:v>
                </c:pt>
                <c:pt idx="56">
                  <c:v>84.064875177880779</c:v>
                </c:pt>
                <c:pt idx="57">
                  <c:v>84.085586885509329</c:v>
                </c:pt>
                <c:pt idx="58">
                  <c:v>84.10555253947922</c:v>
                </c:pt>
                <c:pt idx="59">
                  <c:v>84.130331981902586</c:v>
                </c:pt>
                <c:pt idx="60">
                  <c:v>84.253486516858359</c:v>
                </c:pt>
                <c:pt idx="61">
                  <c:v>84.371223987799027</c:v>
                </c:pt>
                <c:pt idx="62">
                  <c:v>84.483860710410084</c:v>
                </c:pt>
                <c:pt idx="63">
                  <c:v>84.591690258999918</c:v>
                </c:pt>
                <c:pt idx="64">
                  <c:v>84.694985387215851</c:v>
                </c:pt>
                <c:pt idx="65">
                  <c:v>84.793999764071344</c:v>
                </c:pt>
                <c:pt idx="66">
                  <c:v>84.888969545045768</c:v>
                </c:pt>
                <c:pt idx="67">
                  <c:v>84.980114795706868</c:v>
                </c:pt>
                <c:pt idx="68">
                  <c:v>85.067640783286123</c:v>
                </c:pt>
                <c:pt idx="69">
                  <c:v>85.151739149868902</c:v>
                </c:pt>
                <c:pt idx="70">
                  <c:v>85.232588979312411</c:v>
                </c:pt>
                <c:pt idx="71">
                  <c:v>85.310357768644806</c:v>
                </c:pt>
                <c:pt idx="72">
                  <c:v>85.385202313504152</c:v>
                </c:pt>
                <c:pt idx="73">
                  <c:v>85.457269516125308</c:v>
                </c:pt>
                <c:pt idx="74">
                  <c:v>85.526697123456998</c:v>
                </c:pt>
                <c:pt idx="75">
                  <c:v>85.593614402174595</c:v>
                </c:pt>
                <c:pt idx="76">
                  <c:v>85.658142756633666</c:v>
                </c:pt>
                <c:pt idx="77">
                  <c:v>85.720396295170602</c:v>
                </c:pt>
                <c:pt idx="78">
                  <c:v>85.780482349592972</c:v>
                </c:pt>
                <c:pt idx="79">
                  <c:v>85.838501952201582</c:v>
                </c:pt>
                <c:pt idx="80">
                  <c:v>85.89455027424124</c:v>
                </c:pt>
                <c:pt idx="81">
                  <c:v>85.948717029283557</c:v>
                </c:pt>
                <c:pt idx="82">
                  <c:v>86.001086844692864</c:v>
                </c:pt>
                <c:pt idx="83">
                  <c:v>83.388585966295466</c:v>
                </c:pt>
                <c:pt idx="84">
                  <c:v>83.36754852913478</c:v>
                </c:pt>
                <c:pt idx="85">
                  <c:v>83.345515183763268</c:v>
                </c:pt>
                <c:pt idx="86">
                  <c:v>83.322521123515344</c:v>
                </c:pt>
                <c:pt idx="87">
                  <c:v>83.298599806835412</c:v>
                </c:pt>
                <c:pt idx="88">
                  <c:v>83.273783059213912</c:v>
                </c:pt>
                <c:pt idx="89">
                  <c:v>83.24810116804899</c:v>
                </c:pt>
                <c:pt idx="90">
                  <c:v>83.221582970997616</c:v>
                </c:pt>
                <c:pt idx="91">
                  <c:v>83.194255938328084</c:v>
                </c:pt>
                <c:pt idx="92">
                  <c:v>83.166146249742141</c:v>
                </c:pt>
                <c:pt idx="93">
                  <c:v>83.137278866092174</c:v>
                </c:pt>
                <c:pt idx="94">
                  <c:v>83.107677596383439</c:v>
                </c:pt>
                <c:pt idx="95">
                  <c:v>83.077365160416946</c:v>
                </c:pt>
                <c:pt idx="96">
                  <c:v>83.046363247398588</c:v>
                </c:pt>
                <c:pt idx="97">
                  <c:v>83.014692570812869</c:v>
                </c:pt>
                <c:pt idx="98">
                  <c:v>83.110969703331165</c:v>
                </c:pt>
                <c:pt idx="99">
                  <c:v>83.215751113476415</c:v>
                </c:pt>
                <c:pt idx="100">
                  <c:v>83.31827012877973</c:v>
                </c:pt>
              </c:numCache>
            </c:numRef>
          </c:val>
          <c:smooth val="0"/>
        </c:ser>
        <c:dLbls>
          <c:showLegendKey val="0"/>
          <c:showVal val="0"/>
          <c:showCatName val="0"/>
          <c:showSerName val="0"/>
          <c:showPercent val="0"/>
          <c:showBubbleSize val="0"/>
        </c:dLbls>
        <c:marker val="1"/>
        <c:smooth val="0"/>
        <c:axId val="153851008"/>
        <c:axId val="153852928"/>
      </c:lineChart>
      <c:lineChart>
        <c:grouping val="standard"/>
        <c:varyColors val="0"/>
        <c:ser>
          <c:idx val="2"/>
          <c:order val="1"/>
          <c:tx>
            <c:strRef>
              <c:f>'Calculations - Dual'!$BL$3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Dual'!$BP$5:$BP$105</c:f>
              <c:numCache>
                <c:formatCode>0.0</c:formatCode>
                <c:ptCount val="101"/>
                <c:pt idx="0">
                  <c:v>7.7600000000000007E-7</c:v>
                </c:pt>
                <c:pt idx="1">
                  <c:v>5.8199999999999994</c:v>
                </c:pt>
                <c:pt idx="2">
                  <c:v>11.639999999999999</c:v>
                </c:pt>
                <c:pt idx="3">
                  <c:v>17.46</c:v>
                </c:pt>
                <c:pt idx="4">
                  <c:v>23.279999999999998</c:v>
                </c:pt>
                <c:pt idx="5">
                  <c:v>29.100000000000009</c:v>
                </c:pt>
                <c:pt idx="6">
                  <c:v>34.92</c:v>
                </c:pt>
                <c:pt idx="7">
                  <c:v>40.74</c:v>
                </c:pt>
                <c:pt idx="8">
                  <c:v>46.559999999999995</c:v>
                </c:pt>
                <c:pt idx="9">
                  <c:v>52.379999999999995</c:v>
                </c:pt>
                <c:pt idx="10">
                  <c:v>58.200000000000017</c:v>
                </c:pt>
                <c:pt idx="11">
                  <c:v>64.02000000000001</c:v>
                </c:pt>
                <c:pt idx="12">
                  <c:v>69.84</c:v>
                </c:pt>
                <c:pt idx="13">
                  <c:v>75.660000000000011</c:v>
                </c:pt>
                <c:pt idx="14">
                  <c:v>81.48</c:v>
                </c:pt>
                <c:pt idx="15">
                  <c:v>87.299999999999983</c:v>
                </c:pt>
                <c:pt idx="16">
                  <c:v>93.11999999999999</c:v>
                </c:pt>
                <c:pt idx="17">
                  <c:v>98.94</c:v>
                </c:pt>
                <c:pt idx="18">
                  <c:v>104.75999999999999</c:v>
                </c:pt>
                <c:pt idx="19">
                  <c:v>110.58000000000001</c:v>
                </c:pt>
                <c:pt idx="20">
                  <c:v>116.40000000000003</c:v>
                </c:pt>
                <c:pt idx="21">
                  <c:v>122.22</c:v>
                </c:pt>
                <c:pt idx="22">
                  <c:v>128.04000000000002</c:v>
                </c:pt>
                <c:pt idx="23">
                  <c:v>133.86000000000004</c:v>
                </c:pt>
                <c:pt idx="24">
                  <c:v>139.68</c:v>
                </c:pt>
                <c:pt idx="25">
                  <c:v>145.50000000000003</c:v>
                </c:pt>
                <c:pt idx="26">
                  <c:v>151.32000000000002</c:v>
                </c:pt>
                <c:pt idx="27">
                  <c:v>157.14000000000001</c:v>
                </c:pt>
                <c:pt idx="28">
                  <c:v>162.96</c:v>
                </c:pt>
                <c:pt idx="29">
                  <c:v>168.77999999999997</c:v>
                </c:pt>
                <c:pt idx="30">
                  <c:v>174.59999999999997</c:v>
                </c:pt>
                <c:pt idx="31">
                  <c:v>180.42</c:v>
                </c:pt>
                <c:pt idx="32">
                  <c:v>186.23999999999998</c:v>
                </c:pt>
                <c:pt idx="33">
                  <c:v>192.06</c:v>
                </c:pt>
                <c:pt idx="34">
                  <c:v>197.88</c:v>
                </c:pt>
                <c:pt idx="35">
                  <c:v>203.69999999999996</c:v>
                </c:pt>
                <c:pt idx="36">
                  <c:v>209.51999999999998</c:v>
                </c:pt>
                <c:pt idx="37">
                  <c:v>215.33999999999997</c:v>
                </c:pt>
                <c:pt idx="38">
                  <c:v>221.16000000000003</c:v>
                </c:pt>
                <c:pt idx="39">
                  <c:v>226.98000000000002</c:v>
                </c:pt>
                <c:pt idx="40">
                  <c:v>232.80000000000007</c:v>
                </c:pt>
                <c:pt idx="41">
                  <c:v>238.62</c:v>
                </c:pt>
                <c:pt idx="42">
                  <c:v>244.44</c:v>
                </c:pt>
                <c:pt idx="43">
                  <c:v>250.26000000000005</c:v>
                </c:pt>
                <c:pt idx="44">
                  <c:v>256.08000000000004</c:v>
                </c:pt>
                <c:pt idx="45">
                  <c:v>261.90000000000003</c:v>
                </c:pt>
                <c:pt idx="46">
                  <c:v>267.72000000000008</c:v>
                </c:pt>
                <c:pt idx="47">
                  <c:v>273.54000000000002</c:v>
                </c:pt>
                <c:pt idx="48">
                  <c:v>279.36</c:v>
                </c:pt>
                <c:pt idx="49">
                  <c:v>285.18</c:v>
                </c:pt>
                <c:pt idx="50">
                  <c:v>291.00000000000006</c:v>
                </c:pt>
                <c:pt idx="51">
                  <c:v>296.82</c:v>
                </c:pt>
                <c:pt idx="52">
                  <c:v>302.64000000000004</c:v>
                </c:pt>
                <c:pt idx="53">
                  <c:v>308.46000000000004</c:v>
                </c:pt>
                <c:pt idx="54">
                  <c:v>314.28000000000003</c:v>
                </c:pt>
                <c:pt idx="55">
                  <c:v>320.10000000000002</c:v>
                </c:pt>
                <c:pt idx="56">
                  <c:v>325.92</c:v>
                </c:pt>
                <c:pt idx="57">
                  <c:v>331.7399999999999</c:v>
                </c:pt>
                <c:pt idx="58">
                  <c:v>337.55999999999995</c:v>
                </c:pt>
                <c:pt idx="59">
                  <c:v>343.37999999999994</c:v>
                </c:pt>
                <c:pt idx="60">
                  <c:v>349.19999999999993</c:v>
                </c:pt>
                <c:pt idx="61">
                  <c:v>355.02</c:v>
                </c:pt>
                <c:pt idx="62">
                  <c:v>360.84</c:v>
                </c:pt>
                <c:pt idx="63">
                  <c:v>366.65999999999997</c:v>
                </c:pt>
                <c:pt idx="64">
                  <c:v>372.47999999999996</c:v>
                </c:pt>
                <c:pt idx="65">
                  <c:v>378.29999999999995</c:v>
                </c:pt>
                <c:pt idx="66">
                  <c:v>384.12</c:v>
                </c:pt>
                <c:pt idx="67">
                  <c:v>389.94000000000005</c:v>
                </c:pt>
                <c:pt idx="68">
                  <c:v>395.76</c:v>
                </c:pt>
                <c:pt idx="69">
                  <c:v>401.57999999999993</c:v>
                </c:pt>
                <c:pt idx="70">
                  <c:v>407.39999999999992</c:v>
                </c:pt>
                <c:pt idx="71">
                  <c:v>413.21999999999991</c:v>
                </c:pt>
                <c:pt idx="72">
                  <c:v>419.03999999999996</c:v>
                </c:pt>
                <c:pt idx="73">
                  <c:v>424.86</c:v>
                </c:pt>
                <c:pt idx="74">
                  <c:v>430.67999999999995</c:v>
                </c:pt>
                <c:pt idx="75">
                  <c:v>436.50000000000006</c:v>
                </c:pt>
                <c:pt idx="76">
                  <c:v>442.32000000000005</c:v>
                </c:pt>
                <c:pt idx="77">
                  <c:v>448.14000000000004</c:v>
                </c:pt>
                <c:pt idx="78">
                  <c:v>453.96000000000004</c:v>
                </c:pt>
                <c:pt idx="79">
                  <c:v>459.78000000000009</c:v>
                </c:pt>
                <c:pt idx="80">
                  <c:v>465.60000000000014</c:v>
                </c:pt>
                <c:pt idx="81">
                  <c:v>471.42000000000007</c:v>
                </c:pt>
                <c:pt idx="82">
                  <c:v>477.24</c:v>
                </c:pt>
                <c:pt idx="83">
                  <c:v>483.06</c:v>
                </c:pt>
                <c:pt idx="84">
                  <c:v>488.88</c:v>
                </c:pt>
                <c:pt idx="85">
                  <c:v>494.70000000000005</c:v>
                </c:pt>
                <c:pt idx="86">
                  <c:v>500.5200000000001</c:v>
                </c:pt>
                <c:pt idx="87">
                  <c:v>506.34000000000003</c:v>
                </c:pt>
                <c:pt idx="88">
                  <c:v>512.16000000000008</c:v>
                </c:pt>
                <c:pt idx="89">
                  <c:v>517.98</c:v>
                </c:pt>
                <c:pt idx="90">
                  <c:v>523.80000000000007</c:v>
                </c:pt>
                <c:pt idx="91">
                  <c:v>529.62000000000012</c:v>
                </c:pt>
                <c:pt idx="92">
                  <c:v>535.44000000000017</c:v>
                </c:pt>
                <c:pt idx="93">
                  <c:v>541.2600000000001</c:v>
                </c:pt>
                <c:pt idx="94">
                  <c:v>547.08000000000004</c:v>
                </c:pt>
                <c:pt idx="95">
                  <c:v>552.9</c:v>
                </c:pt>
                <c:pt idx="96">
                  <c:v>558.72</c:v>
                </c:pt>
                <c:pt idx="97">
                  <c:v>564.54000000000008</c:v>
                </c:pt>
                <c:pt idx="98">
                  <c:v>570.36</c:v>
                </c:pt>
                <c:pt idx="99">
                  <c:v>576.18000000000006</c:v>
                </c:pt>
                <c:pt idx="100">
                  <c:v>582.00000000000011</c:v>
                </c:pt>
              </c:numCache>
            </c:numRef>
          </c:val>
          <c:smooth val="0"/>
        </c:ser>
        <c:ser>
          <c:idx val="3"/>
          <c:order val="2"/>
          <c:tx>
            <c:strRef>
              <c:f>'Calculations - Dual'!$BE$3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Dual'!$BK$5:$BK$105</c:f>
              <c:numCache>
                <c:formatCode>0.0</c:formatCode>
                <c:ptCount val="101"/>
                <c:pt idx="0">
                  <c:v>8.8235660087713672</c:v>
                </c:pt>
                <c:pt idx="1">
                  <c:v>14.276514185454618</c:v>
                </c:pt>
                <c:pt idx="2">
                  <c:v>21.593812245610554</c:v>
                </c:pt>
                <c:pt idx="3">
                  <c:v>28.911894306448385</c:v>
                </c:pt>
                <c:pt idx="4">
                  <c:v>36.230760493975687</c:v>
                </c:pt>
                <c:pt idx="5">
                  <c:v>43.550410934227052</c:v>
                </c:pt>
                <c:pt idx="6">
                  <c:v>50.870845753264064</c:v>
                </c:pt>
                <c:pt idx="7">
                  <c:v>58.192065077175329</c:v>
                </c:pt>
                <c:pt idx="8">
                  <c:v>67.516546105688306</c:v>
                </c:pt>
                <c:pt idx="9">
                  <c:v>76.840796224107422</c:v>
                </c:pt>
                <c:pt idx="10">
                  <c:v>79.146273217564314</c:v>
                </c:pt>
                <c:pt idx="11">
                  <c:v>81.378823903925181</c:v>
                </c:pt>
                <c:pt idx="12">
                  <c:v>83.550033959854076</c:v>
                </c:pt>
                <c:pt idx="13">
                  <c:v>85.669048723688505</c:v>
                </c:pt>
                <c:pt idx="14">
                  <c:v>87.74322831172455</c:v>
                </c:pt>
                <c:pt idx="15">
                  <c:v>89.778593578939834</c:v>
                </c:pt>
                <c:pt idx="16">
                  <c:v>91.780139017657987</c:v>
                </c:pt>
                <c:pt idx="17">
                  <c:v>93.752058018613283</c:v>
                </c:pt>
                <c:pt idx="18">
                  <c:v>95.697908676978898</c:v>
                </c:pt>
                <c:pt idx="19">
                  <c:v>97.620738216467714</c:v>
                </c:pt>
                <c:pt idx="20">
                  <c:v>99.523177958866498</c:v>
                </c:pt>
                <c:pt idx="21">
                  <c:v>101.40751691084606</c:v>
                </c:pt>
                <c:pt idx="22">
                  <c:v>103.27575955337269</c:v>
                </c:pt>
                <c:pt idx="23">
                  <c:v>105.12967177570508</c:v>
                </c:pt>
                <c:pt idx="24">
                  <c:v>106.97081778589281</c:v>
                </c:pt>
                <c:pt idx="25">
                  <c:v>108.80059006500305</c:v>
                </c:pt>
                <c:pt idx="26">
                  <c:v>110.62023389611791</c:v>
                </c:pt>
                <c:pt idx="27">
                  <c:v>112.4308676170907</c:v>
                </c:pt>
                <c:pt idx="28">
                  <c:v>114.23349946980022</c:v>
                </c:pt>
                <c:pt idx="29">
                  <c:v>116.02904171619407</c:v>
                </c:pt>
                <c:pt idx="30">
                  <c:v>117.81832254120836</c:v>
                </c:pt>
                <c:pt idx="31">
                  <c:v>119.60209614993043</c:v>
                </c:pt>
                <c:pt idx="32">
                  <c:v>121.38105138088736</c:v>
                </c:pt>
                <c:pt idx="33">
                  <c:v>123.1558190918724</c:v>
                </c:pt>
                <c:pt idx="34">
                  <c:v>124.92697852412462</c:v>
                </c:pt>
                <c:pt idx="35">
                  <c:v>126.69506281123813</c:v>
                </c:pt>
                <c:pt idx="36">
                  <c:v>128.46056376819305</c:v>
                </c:pt>
                <c:pt idx="37">
                  <c:v>130.22393607137207</c:v>
                </c:pt>
                <c:pt idx="38">
                  <c:v>131.98560092087885</c:v>
                </c:pt>
                <c:pt idx="39">
                  <c:v>133.74594926078808</c:v>
                </c:pt>
                <c:pt idx="40">
                  <c:v>135.50534462029043</c:v>
                </c:pt>
                <c:pt idx="41">
                  <c:v>137.26412562841446</c:v>
                </c:pt>
                <c:pt idx="42">
                  <c:v>139.02260824660621</c:v>
                </c:pt>
                <c:pt idx="43">
                  <c:v>140.78108775655198</c:v>
                </c:pt>
                <c:pt idx="44">
                  <c:v>142.53984053494455</c:v>
                </c:pt>
                <c:pt idx="45">
                  <c:v>144.29912564217256</c:v>
                </c:pt>
                <c:pt idx="46">
                  <c:v>146.0591862479919</c:v>
                </c:pt>
                <c:pt idx="47">
                  <c:v>147.820250913949</c:v>
                </c:pt>
                <c:pt idx="48">
                  <c:v>149.58253474957277</c:v>
                </c:pt>
                <c:pt idx="49">
                  <c:v>151.34624045702535</c:v>
                </c:pt>
                <c:pt idx="50">
                  <c:v>153.11155927693494</c:v>
                </c:pt>
                <c:pt idx="51">
                  <c:v>154.87867184646538</c:v>
                </c:pt>
                <c:pt idx="52">
                  <c:v>156.64774897925341</c:v>
                </c:pt>
                <c:pt idx="53">
                  <c:v>158.41895237562622</c:v>
                </c:pt>
                <c:pt idx="54">
                  <c:v>160.19243527047246</c:v>
                </c:pt>
                <c:pt idx="55">
                  <c:v>161.96834302523854</c:v>
                </c:pt>
                <c:pt idx="56">
                  <c:v>163.74681366975025</c:v>
                </c:pt>
                <c:pt idx="57">
                  <c:v>165.52797839888979</c:v>
                </c:pt>
                <c:pt idx="58">
                  <c:v>167.31196202857674</c:v>
                </c:pt>
                <c:pt idx="59">
                  <c:v>168.95562729756543</c:v>
                </c:pt>
                <c:pt idx="60">
                  <c:v>167.98245050809132</c:v>
                </c:pt>
                <c:pt idx="61">
                  <c:v>167.04301774079138</c:v>
                </c:pt>
                <c:pt idx="62">
                  <c:v>166.13578179752449</c:v>
                </c:pt>
                <c:pt idx="63">
                  <c:v>165.25928935384411</c:v>
                </c:pt>
                <c:pt idx="64">
                  <c:v>164.4121738855745</c:v>
                </c:pt>
                <c:pt idx="65">
                  <c:v>163.593149229478</c:v>
                </c:pt>
                <c:pt idx="66">
                  <c:v>162.80100371237035</c:v>
                </c:pt>
                <c:pt idx="67">
                  <c:v>162.03459479072268</c:v>
                </c:pt>
                <c:pt idx="68">
                  <c:v>161.2928441494681</c:v>
                </c:pt>
                <c:pt idx="69">
                  <c:v>160.57473321455552</c:v>
                </c:pt>
                <c:pt idx="70">
                  <c:v>159.87929903888036</c:v>
                </c:pt>
                <c:pt idx="71">
                  <c:v>159.2056305256792</c:v>
                </c:pt>
                <c:pt idx="72">
                  <c:v>158.55286495738142</c:v>
                </c:pt>
                <c:pt idx="73">
                  <c:v>157.92018480134598</c:v>
                </c:pt>
                <c:pt idx="74">
                  <c:v>157.30681476693718</c:v>
                </c:pt>
                <c:pt idx="75">
                  <c:v>156.71201909105943</c:v>
                </c:pt>
                <c:pt idx="76">
                  <c:v>156.13509903162969</c:v>
                </c:pt>
                <c:pt idx="77">
                  <c:v>155.57539055055457</c:v>
                </c:pt>
                <c:pt idx="78">
                  <c:v>155.03226216962744</c:v>
                </c:pt>
                <c:pt idx="79">
                  <c:v>154.50511298440679</c:v>
                </c:pt>
                <c:pt idx="80">
                  <c:v>153.993370822598</c:v>
                </c:pt>
                <c:pt idx="81">
                  <c:v>153.49649053476432</c:v>
                </c:pt>
                <c:pt idx="82">
                  <c:v>153.01395240635392</c:v>
                </c:pt>
                <c:pt idx="83">
                  <c:v>217.81549105381751</c:v>
                </c:pt>
                <c:pt idx="84">
                  <c:v>219.84176086023686</c:v>
                </c:pt>
                <c:pt idx="85">
                  <c:v>221.90497658609939</c:v>
                </c:pt>
                <c:pt idx="86">
                  <c:v>224.00503113402416</c:v>
                </c:pt>
                <c:pt idx="87">
                  <c:v>226.14182946311195</c:v>
                </c:pt>
                <c:pt idx="88">
                  <c:v>228.31528801993684</c:v>
                </c:pt>
                <c:pt idx="89">
                  <c:v>230.5253342092127</c:v>
                </c:pt>
                <c:pt idx="90">
                  <c:v>232.77190590107207</c:v>
                </c:pt>
                <c:pt idx="91">
                  <c:v>235.05495097216627</c:v>
                </c:pt>
                <c:pt idx="92">
                  <c:v>237.37442687803983</c:v>
                </c:pt>
                <c:pt idx="93">
                  <c:v>239.73030025445243</c:v>
                </c:pt>
                <c:pt idx="94">
                  <c:v>242.12254654551509</c:v>
                </c:pt>
                <c:pt idx="95">
                  <c:v>244.55114965669475</c:v>
                </c:pt>
                <c:pt idx="96">
                  <c:v>247.01610163089865</c:v>
                </c:pt>
                <c:pt idx="97">
                  <c:v>249.51740234599887</c:v>
                </c:pt>
                <c:pt idx="98">
                  <c:v>248.36192914312588</c:v>
                </c:pt>
                <c:pt idx="99">
                  <c:v>246.91702393630175</c:v>
                </c:pt>
                <c:pt idx="100">
                  <c:v>245.49096493128164</c:v>
                </c:pt>
              </c:numCache>
            </c:numRef>
          </c:val>
          <c:smooth val="0"/>
        </c:ser>
        <c:ser>
          <c:idx val="1"/>
          <c:order val="3"/>
          <c:tx>
            <c:strRef>
              <c:f>'Calculations - Dual'!$BQ$3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Dual'!$BW$5:$BW$105</c:f>
              <c:numCache>
                <c:formatCode>0.0</c:formatCode>
                <c:ptCount val="101"/>
                <c:pt idx="0">
                  <c:v>19.303854398499965</c:v>
                </c:pt>
                <c:pt idx="1">
                  <c:v>19.45256396846494</c:v>
                </c:pt>
                <c:pt idx="2">
                  <c:v>19.73216385688395</c:v>
                </c:pt>
                <c:pt idx="3">
                  <c:v>20.137487336000568</c:v>
                </c:pt>
                <c:pt idx="4">
                  <c:v>20.697254329093919</c:v>
                </c:pt>
                <c:pt idx="5">
                  <c:v>21.435536237595638</c:v>
                </c:pt>
                <c:pt idx="6">
                  <c:v>22.373492104809355</c:v>
                </c:pt>
                <c:pt idx="7">
                  <c:v>23.530228882653891</c:v>
                </c:pt>
                <c:pt idx="8">
                  <c:v>28.110276595001469</c:v>
                </c:pt>
                <c:pt idx="9">
                  <c:v>33.648402237914503</c:v>
                </c:pt>
                <c:pt idx="10">
                  <c:v>37.477074389849641</c:v>
                </c:pt>
                <c:pt idx="11">
                  <c:v>41.31333168382821</c:v>
                </c:pt>
                <c:pt idx="12">
                  <c:v>45.156249956503004</c:v>
                </c:pt>
                <c:pt idx="13">
                  <c:v>49.00505946033033</c:v>
                </c:pt>
                <c:pt idx="14">
                  <c:v>52.859109600281286</c:v>
                </c:pt>
                <c:pt idx="15">
                  <c:v>56.717843631421971</c:v>
                </c:pt>
                <c:pt idx="16">
                  <c:v>60.580780029921605</c:v>
                </c:pt>
                <c:pt idx="17">
                  <c:v>64.447498472837992</c:v>
                </c:pt>
                <c:pt idx="18">
                  <c:v>68.317629084572957</c:v>
                </c:pt>
                <c:pt idx="19">
                  <c:v>72.190844051396439</c:v>
                </c:pt>
                <c:pt idx="20">
                  <c:v>76.066850986741315</c:v>
                </c:pt>
                <c:pt idx="21">
                  <c:v>79.945387613553265</c:v>
                </c:pt>
                <c:pt idx="22">
                  <c:v>83.82621745283744</c:v>
                </c:pt>
                <c:pt idx="23">
                  <c:v>87.709126291610275</c:v>
                </c:pt>
                <c:pt idx="24">
                  <c:v>91.593919262141114</c:v>
                </c:pt>
                <c:pt idx="25">
                  <c:v>95.480418406061318</c:v>
                </c:pt>
                <c:pt idx="26">
                  <c:v>99.368460627027574</c:v>
                </c:pt>
                <c:pt idx="27">
                  <c:v>103.25789595768489</c:v>
                </c:pt>
                <c:pt idx="28">
                  <c:v>107.14858608306044</c:v>
                </c:pt>
                <c:pt idx="29">
                  <c:v>111.0404030748337</c:v>
                </c:pt>
                <c:pt idx="30">
                  <c:v>114.93322830029443</c:v>
                </c:pt>
                <c:pt idx="31">
                  <c:v>118.82695147699151</c:v>
                </c:pt>
                <c:pt idx="32">
                  <c:v>122.72146984965785</c:v>
                </c:pt>
                <c:pt idx="33">
                  <c:v>126.61668747036137</c:v>
                </c:pt>
                <c:pt idx="34">
                  <c:v>130.5125145662789</c:v>
                </c:pt>
                <c:pt idx="35">
                  <c:v>134.40886698223107</c:v>
                </c:pt>
                <c:pt idx="36">
                  <c:v>138.30566568731132</c:v>
                </c:pt>
                <c:pt idx="37">
                  <c:v>142.20283633671232</c:v>
                </c:pt>
                <c:pt idx="38">
                  <c:v>146.10030888129279</c:v>
                </c:pt>
                <c:pt idx="39">
                  <c:v>149.99801721859865</c:v>
                </c:pt>
                <c:pt idx="40">
                  <c:v>153.89589888001959</c:v>
                </c:pt>
                <c:pt idx="41">
                  <c:v>157.79389474955653</c:v>
                </c:pt>
                <c:pt idx="42">
                  <c:v>161.69194881033602</c:v>
                </c:pt>
                <c:pt idx="43">
                  <c:v>165.59000791556045</c:v>
                </c:pt>
                <c:pt idx="44">
                  <c:v>169.48802158104249</c:v>
                </c:pt>
                <c:pt idx="45">
                  <c:v>173.38594179686191</c:v>
                </c:pt>
                <c:pt idx="46">
                  <c:v>177.28372285601114</c:v>
                </c:pt>
                <c:pt idx="47">
                  <c:v>181.18132119817233</c:v>
                </c:pt>
                <c:pt idx="48">
                  <c:v>185.07869526700955</c:v>
                </c:pt>
                <c:pt idx="49">
                  <c:v>188.97580537955781</c:v>
                </c:pt>
                <c:pt idx="50">
                  <c:v>192.87261360646698</c:v>
                </c:pt>
                <c:pt idx="51">
                  <c:v>196.76908366200826</c:v>
                </c:pt>
                <c:pt idx="52">
                  <c:v>200.66518080287707</c:v>
                </c:pt>
                <c:pt idx="53">
                  <c:v>204.56087173494038</c:v>
                </c:pt>
                <c:pt idx="54">
                  <c:v>208.45612452717373</c:v>
                </c:pt>
                <c:pt idx="55">
                  <c:v>212.35090853211301</c:v>
                </c:pt>
                <c:pt idx="56">
                  <c:v>216.24519431222578</c:v>
                </c:pt>
                <c:pt idx="57">
                  <c:v>220.13895357166675</c:v>
                </c:pt>
                <c:pt idx="58">
                  <c:v>224.03215909293979</c:v>
                </c:pt>
                <c:pt idx="59">
                  <c:v>227.76180251406419</c:v>
                </c:pt>
                <c:pt idx="60">
                  <c:v>228.52661620410663</c:v>
                </c:pt>
                <c:pt idx="61">
                  <c:v>229.35585349261925</c:v>
                </c:pt>
                <c:pt idx="62">
                  <c:v>230.24626929058905</c:v>
                </c:pt>
                <c:pt idx="63">
                  <c:v>231.19483524011255</c:v>
                </c:pt>
                <c:pt idx="64">
                  <c:v>232.19872204179509</c:v>
                </c:pt>
                <c:pt idx="65">
                  <c:v>233.25528347426652</c:v>
                </c:pt>
                <c:pt idx="66">
                  <c:v>234.36204192055644</c:v>
                </c:pt>
                <c:pt idx="67">
                  <c:v>235.51667523882588</c:v>
                </c:pt>
                <c:pt idx="68">
                  <c:v>236.71700483460157</c:v>
                </c:pt>
                <c:pt idx="69">
                  <c:v>237.96098480870305</c:v>
                </c:pt>
                <c:pt idx="70">
                  <c:v>239.24669206982401</c:v>
                </c:pt>
                <c:pt idx="71">
                  <c:v>240.57231731360767</c:v>
                </c:pt>
                <c:pt idx="72">
                  <c:v>241.93615678126119</c:v>
                </c:pt>
                <c:pt idx="73">
                  <c:v>243.33660472055976</c:v>
                </c:pt>
                <c:pt idx="74">
                  <c:v>244.77214648066305</c:v>
                </c:pt>
                <c:pt idx="75">
                  <c:v>246.24135217969186</c:v>
                </c:pt>
                <c:pt idx="76">
                  <c:v>247.7428708906173</c:v>
                </c:pt>
                <c:pt idx="77">
                  <c:v>249.27542529683379</c:v>
                </c:pt>
                <c:pt idx="78">
                  <c:v>250.83780677391994</c:v>
                </c:pt>
                <c:pt idx="79">
                  <c:v>252.42887085860727</c:v>
                </c:pt>
                <c:pt idx="80">
                  <c:v>254.04753307000249</c:v>
                </c:pt>
                <c:pt idx="81">
                  <c:v>255.69276505164285</c:v>
                </c:pt>
                <c:pt idx="82">
                  <c:v>257.36359100612742</c:v>
                </c:pt>
                <c:pt idx="83">
                  <c:v>398.63589526577766</c:v>
                </c:pt>
                <c:pt idx="84">
                  <c:v>405.72715308118552</c:v>
                </c:pt>
                <c:pt idx="85">
                  <c:v>412.90361444265477</c:v>
                </c:pt>
                <c:pt idx="86">
                  <c:v>420.16550881289959</c:v>
                </c:pt>
                <c:pt idx="87">
                  <c:v>427.51306891001315</c:v>
                </c:pt>
                <c:pt idx="88">
                  <c:v>434.94653072797439</c:v>
                </c:pt>
                <c:pt idx="89">
                  <c:v>442.46613355748627</c:v>
                </c:pt>
                <c:pt idx="90">
                  <c:v>450.07212000714463</c:v>
                </c:pt>
                <c:pt idx="91">
                  <c:v>457.76473602494724</c:v>
                </c:pt>
                <c:pt idx="92">
                  <c:v>465.5442309201369</c:v>
                </c:pt>
                <c:pt idx="93">
                  <c:v>473.41085738539698</c:v>
                </c:pt>
                <c:pt idx="94">
                  <c:v>481.36487151938633</c:v>
                </c:pt>
                <c:pt idx="95">
                  <c:v>489.40653284963116</c:v>
                </c:pt>
                <c:pt idx="96">
                  <c:v>497.53610435577036</c:v>
                </c:pt>
                <c:pt idx="97">
                  <c:v>505.75385249316065</c:v>
                </c:pt>
                <c:pt idx="98">
                  <c:v>505.60157275170627</c:v>
                </c:pt>
                <c:pt idx="99">
                  <c:v>504.76580330354136</c:v>
                </c:pt>
                <c:pt idx="100">
                  <c:v>503.95174831938829</c:v>
                </c:pt>
              </c:numCache>
            </c:numRef>
          </c:val>
          <c:smooth val="0"/>
        </c:ser>
        <c:dLbls>
          <c:showLegendKey val="0"/>
          <c:showVal val="0"/>
          <c:showCatName val="0"/>
          <c:showSerName val="0"/>
          <c:showPercent val="0"/>
          <c:showBubbleSize val="0"/>
        </c:dLbls>
        <c:marker val="1"/>
        <c:smooth val="0"/>
        <c:axId val="153877504"/>
        <c:axId val="153875584"/>
      </c:lineChart>
      <c:catAx>
        <c:axId val="153851008"/>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53852928"/>
        <c:crosses val="autoZero"/>
        <c:auto val="1"/>
        <c:lblAlgn val="ctr"/>
        <c:lblOffset val="100"/>
        <c:tickLblSkip val="20"/>
        <c:tickMarkSkip val="20"/>
        <c:noMultiLvlLbl val="0"/>
      </c:catAx>
      <c:valAx>
        <c:axId val="153852928"/>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53851008"/>
        <c:crossesAt val="0"/>
        <c:crossBetween val="between"/>
        <c:majorUnit val="5"/>
        <c:minorUnit val="2.5"/>
      </c:valAx>
      <c:valAx>
        <c:axId val="15387558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53877504"/>
        <c:crosses val="max"/>
        <c:crossBetween val="between"/>
      </c:valAx>
      <c:catAx>
        <c:axId val="153877504"/>
        <c:scaling>
          <c:orientation val="minMax"/>
        </c:scaling>
        <c:delete val="1"/>
        <c:axPos val="b"/>
        <c:numFmt formatCode="General" sourceLinked="1"/>
        <c:majorTickMark val="out"/>
        <c:minorTickMark val="none"/>
        <c:tickLblPos val="nextTo"/>
        <c:crossAx val="15387558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trlProps/ctrlProp1.xml><?xml version="1.0" encoding="utf-8"?>
<formControlPr xmlns="http://schemas.microsoft.com/office/spreadsheetml/2009/9/main" objectType="Spin" dx="16" fmlaLink="$E$7" max="65" min="3" page="10" val="24"/>
</file>

<file path=xl/ctrlProps/ctrlProp10.xml><?xml version="1.0" encoding="utf-8"?>
<formControlPr xmlns="http://schemas.microsoft.com/office/spreadsheetml/2009/9/main" objectType="Drop" dropStyle="combo" dx="16" fmlaLink="$Q$41" fmlaRange="'Variable Mgmt'!$R$56:$R$58" noThreeD="1" val="0"/>
</file>

<file path=xl/ctrlProps/ctrlProp11.xml><?xml version="1.0" encoding="utf-8"?>
<formControlPr xmlns="http://schemas.microsoft.com/office/spreadsheetml/2009/9/main" objectType="Drop" dropStyle="combo" dx="16" fmlaLink="$Q$38" fmlaRange="'Variable Mgmt'!$W$65:$W$68" noThreeD="1" sel="3" val="0"/>
</file>

<file path=xl/ctrlProps/ctrlProp12.xml><?xml version="1.0" encoding="utf-8"?>
<formControlPr xmlns="http://schemas.microsoft.com/office/spreadsheetml/2009/9/main" objectType="Drop" dropStyle="combo" dx="16" fmlaLink="$Q$37" fmlaRange="'Variable Mgmt'!$W$65:$W$68" noThreeD="1" sel="2" val="0"/>
</file>

<file path=xl/ctrlProps/ctrlProp13.xml><?xml version="1.0" encoding="utf-8"?>
<formControlPr xmlns="http://schemas.microsoft.com/office/spreadsheetml/2009/9/main" objectType="Drop" dropStyle="combo" dx="16" fmlaLink="$Q$40" fmlaRange="'Variable Mgmt'!$R$56:$R$58" noThreeD="1" val="0"/>
</file>

<file path=xl/ctrlProps/ctrlProp14.xml><?xml version="1.0" encoding="utf-8"?>
<formControlPr xmlns="http://schemas.microsoft.com/office/spreadsheetml/2009/9/main" objectType="Drop" dropStyle="combo" dx="16" fmlaLink="$Q$42" fmlaRange="'Variable Mgmt'!$R$56:$R$58" noThreeD="1" val="0"/>
</file>

<file path=xl/ctrlProps/ctrlProp15.xml><?xml version="1.0" encoding="utf-8"?>
<formControlPr xmlns="http://schemas.microsoft.com/office/spreadsheetml/2009/9/main" objectType="Drop" dropStyle="combo" dx="16" fmlaLink="$Q$43" fmlaRange="'Variable Mgmt'!$R$56:$R$58" noThreeD="1" val="0"/>
</file>

<file path=xl/ctrlProps/ctrlProp16.xml><?xml version="1.0" encoding="utf-8"?>
<formControlPr xmlns="http://schemas.microsoft.com/office/spreadsheetml/2009/9/main" objectType="Drop" dropStyle="combo" dx="16" fmlaLink="$Q$44" fmlaRange="'Variable Mgmt'!$R$56:$R$58" noThreeD="1" val="0"/>
</file>

<file path=xl/ctrlProps/ctrlProp17.xml><?xml version="1.0" encoding="utf-8"?>
<formControlPr xmlns="http://schemas.microsoft.com/office/spreadsheetml/2009/9/main" objectType="Drop" dropStyle="combo" dx="16" fmlaLink="$Q$35" fmlaRange="'Variable Mgmt'!$W$65:$W$68" noThreeD="1" sel="3" val="0"/>
</file>

<file path=xl/ctrlProps/ctrlProp18.xml><?xml version="1.0" encoding="utf-8"?>
<formControlPr xmlns="http://schemas.microsoft.com/office/spreadsheetml/2009/9/main" objectType="Drop" dropStyle="combo" dx="16" fmlaLink="$Q$45" fmlaRange="'Variable Mgmt'!$R$65:$R$71" noThreeD="1" sel="5" val="0"/>
</file>

<file path=xl/ctrlProps/ctrlProp19.xml><?xml version="1.0" encoding="utf-8"?>
<formControlPr xmlns="http://schemas.microsoft.com/office/spreadsheetml/2009/9/main" objectType="Drop" dropStyle="combo" dx="16" fmlaLink="$Q$34" fmlaRange="'Variable Mgmt'!$R$56:$R$58" noThreeD="1" val="0"/>
</file>

<file path=xl/ctrlProps/ctrlProp2.xml><?xml version="1.0" encoding="utf-8"?>
<formControlPr xmlns="http://schemas.microsoft.com/office/spreadsheetml/2009/9/main" objectType="Drop" dropStyle="combo" dx="16" fmlaLink="'Variable Mgmt'!$J$56" fmlaRange="'Variable Mgmt'!$I$54:$I$55" noThreeD="1" sel="2" val="0"/>
</file>

<file path=xl/ctrlProps/ctrlProp20.xml><?xml version="1.0" encoding="utf-8"?>
<formControlPr xmlns="http://schemas.microsoft.com/office/spreadsheetml/2009/9/main" objectType="Drop" dropStyle="combo" dx="16" fmlaLink="$Q$33" fmlaRange="'Variable Mgmt'!$R$56:$R$60" noThreeD="1" sel="5" val="0"/>
</file>

<file path=xl/ctrlProps/ctrlProp21.xml><?xml version="1.0" encoding="utf-8"?>
<formControlPr xmlns="http://schemas.microsoft.com/office/spreadsheetml/2009/9/main" objectType="Drop" dropStyle="combo" dx="16" fmlaLink="$Q$39" fmlaRange="'Variable Mgmt'!$W$65:$W$68" noThreeD="1" val="0"/>
</file>

<file path=xl/ctrlProps/ctrlProp22.xml><?xml version="1.0" encoding="utf-8"?>
<formControlPr xmlns="http://schemas.microsoft.com/office/spreadsheetml/2009/9/main" objectType="Drop" dropLines="2" dropStyle="combo" dx="16" fmlaLink="'Variable Mgmt'!$M$56" fmlaRange="'Variable Mgmt'!$L$54:$L$55" noThreeD="1" val="0"/>
</file>

<file path=xl/ctrlProps/ctrlProp3.xml><?xml version="1.0" encoding="utf-8"?>
<formControlPr xmlns="http://schemas.microsoft.com/office/spreadsheetml/2009/9/main" objectType="Drop" dropLines="2" dropStyle="combo" dx="16" fmlaLink="'Variable Mgmt'!$G$56" fmlaRange="'Variable Mgmt'!$F$54:$F$55" noThreeD="1" val="0"/>
</file>

<file path=xl/ctrlProps/ctrlProp4.xml><?xml version="1.0" encoding="utf-8"?>
<formControlPr xmlns="http://schemas.microsoft.com/office/spreadsheetml/2009/9/main" objectType="Drop" dropLines="10" dropStyle="combo" dx="16" fmlaLink="'Variable Mgmt'!$S$38" fmlaRange="'Variable Mgmt'!$R$28:$R$37" noThreeD="1" sel="3" val="0"/>
</file>

<file path=xl/ctrlProps/ctrlProp5.xml><?xml version="1.0" encoding="utf-8"?>
<formControlPr xmlns="http://schemas.microsoft.com/office/spreadsheetml/2009/9/main" objectType="Drop" dropStyle="combo" dx="16" fmlaLink="'Variable Mgmt'!$G$50" fmlaRange="'Variable Mgmt'!$F$48:$F$49" noThreeD="1" val="0"/>
</file>

<file path=xl/ctrlProps/ctrlProp6.xml><?xml version="1.0" encoding="utf-8"?>
<formControlPr xmlns="http://schemas.microsoft.com/office/spreadsheetml/2009/9/main" objectType="Drop" dropLines="10" dropStyle="combo" dx="16" fmlaLink="'Variable Mgmt'!$C$51" fmlaRange="'Variable Mgmt'!$B$48:$B$49" noThreeD="1" val="0"/>
</file>

<file path=xl/ctrlProps/ctrlProp7.xml><?xml version="1.0" encoding="utf-8"?>
<formControlPr xmlns="http://schemas.microsoft.com/office/spreadsheetml/2009/9/main" objectType="Drop" dropStyle="combo" dx="16" fmlaLink="'BOM &amp; Schematic'!$Q$31" fmlaRange="'Variable Mgmt'!$R$56:$R$60" noThreeD="1" sel="5" val="0"/>
</file>

<file path=xl/ctrlProps/ctrlProp8.xml><?xml version="1.0" encoding="utf-8"?>
<formControlPr xmlns="http://schemas.microsoft.com/office/spreadsheetml/2009/9/main" objectType="Drop" dropStyle="combo" dx="16" fmlaLink="$Q$32" fmlaRange="'Variable Mgmt'!$R$56:$R$60" noThreeD="1" sel="5" val="0"/>
</file>

<file path=xl/ctrlProps/ctrlProp9.xml><?xml version="1.0" encoding="utf-8"?>
<formControlPr xmlns="http://schemas.microsoft.com/office/spreadsheetml/2009/9/main" objectType="Drop" dropStyle="combo" dx="16" fmlaLink="$Q$36" fmlaRange="'Variable Mgmt'!$W$65:$W$68" noThreeD="1" sel="3" val="0"/>
</file>

<file path=xl/drawings/_rels/drawing1.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hyperlink" Target="http://www.ti.com/widevin" TargetMode="External"/><Relationship Id="rId7" Type="http://schemas.openxmlformats.org/officeDocument/2006/relationships/hyperlink" Target="http://www.ti.com/automotive" TargetMode="External"/><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4.jpg"/><Relationship Id="rId5" Type="http://schemas.openxmlformats.org/officeDocument/2006/relationships/hyperlink" Target="http://www.ti.com/industrial" TargetMode="External"/><Relationship Id="rId4" Type="http://schemas.openxmlformats.org/officeDocument/2006/relationships/image" Target="../media/image3.jpg"/><Relationship Id="rId9" Type="http://schemas.openxmlformats.org/officeDocument/2006/relationships/image" Target="../media/image6.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chart" Target="../charts/chart19.xml"/><Relationship Id="rId1"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image" Target="../media/image19.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8.emf"/><Relationship Id="rId13" Type="http://schemas.openxmlformats.org/officeDocument/2006/relationships/image" Target="../media/image33.emf"/><Relationship Id="rId18" Type="http://schemas.openxmlformats.org/officeDocument/2006/relationships/image" Target="../media/image38.emf"/><Relationship Id="rId3" Type="http://schemas.openxmlformats.org/officeDocument/2006/relationships/image" Target="../media/image23.emf"/><Relationship Id="rId21" Type="http://schemas.openxmlformats.org/officeDocument/2006/relationships/image" Target="../media/image41.emf"/><Relationship Id="rId7" Type="http://schemas.openxmlformats.org/officeDocument/2006/relationships/image" Target="../media/image27.emf"/><Relationship Id="rId12" Type="http://schemas.openxmlformats.org/officeDocument/2006/relationships/image" Target="../media/image32.emf"/><Relationship Id="rId17" Type="http://schemas.openxmlformats.org/officeDocument/2006/relationships/image" Target="../media/image37.emf"/><Relationship Id="rId2" Type="http://schemas.openxmlformats.org/officeDocument/2006/relationships/image" Target="../media/image22.emf"/><Relationship Id="rId16" Type="http://schemas.openxmlformats.org/officeDocument/2006/relationships/image" Target="../media/image36.emf"/><Relationship Id="rId20" Type="http://schemas.openxmlformats.org/officeDocument/2006/relationships/image" Target="../media/image40.emf"/><Relationship Id="rId1" Type="http://schemas.openxmlformats.org/officeDocument/2006/relationships/image" Target="../media/image21.emf"/><Relationship Id="rId6" Type="http://schemas.openxmlformats.org/officeDocument/2006/relationships/image" Target="../media/image26.emf"/><Relationship Id="rId11" Type="http://schemas.openxmlformats.org/officeDocument/2006/relationships/image" Target="../media/image31.emf"/><Relationship Id="rId24" Type="http://schemas.openxmlformats.org/officeDocument/2006/relationships/image" Target="../media/image44.emf"/><Relationship Id="rId5" Type="http://schemas.openxmlformats.org/officeDocument/2006/relationships/image" Target="../media/image25.emf"/><Relationship Id="rId15" Type="http://schemas.openxmlformats.org/officeDocument/2006/relationships/image" Target="../media/image35.emf"/><Relationship Id="rId23" Type="http://schemas.openxmlformats.org/officeDocument/2006/relationships/image" Target="../media/image43.emf"/><Relationship Id="rId10" Type="http://schemas.openxmlformats.org/officeDocument/2006/relationships/image" Target="../media/image30.emf"/><Relationship Id="rId19" Type="http://schemas.openxmlformats.org/officeDocument/2006/relationships/image" Target="../media/image39.emf"/><Relationship Id="rId4" Type="http://schemas.openxmlformats.org/officeDocument/2006/relationships/image" Target="../media/image24.emf"/><Relationship Id="rId9" Type="http://schemas.openxmlformats.org/officeDocument/2006/relationships/image" Target="../media/image29.emf"/><Relationship Id="rId14" Type="http://schemas.openxmlformats.org/officeDocument/2006/relationships/image" Target="../media/image34.emf"/><Relationship Id="rId22" Type="http://schemas.openxmlformats.org/officeDocument/2006/relationships/image" Target="../media/image42.emf"/></Relationships>
</file>

<file path=xl/drawings/_rels/drawing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3.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image" Target="../media/image16.png"/><Relationship Id="rId1" Type="http://schemas.openxmlformats.org/officeDocument/2006/relationships/chart" Target="../charts/chart12.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209550</xdr:colOff>
          <xdr:row>24</xdr:row>
          <xdr:rowOff>243409</xdr:rowOff>
        </xdr:from>
        <xdr:to>
          <xdr:col>25</xdr:col>
          <xdr:colOff>1895036</xdr:colOff>
          <xdr:row>45</xdr:row>
          <xdr:rowOff>91228</xdr:rowOff>
        </xdr:to>
        <xdr:pic>
          <xdr:nvPicPr>
            <xdr:cNvPr id="59" name="Picture 8888"/>
            <xdr:cNvPicPr>
              <a:picLocks noChangeAspect="1" noChangeArrowheads="1"/>
              <a:extLst>
                <a:ext uri="{84589F7E-364E-4C9E-8A38-B11213B215E9}">
                  <a14:cameraTool cellRange="PICTURE3" spid="_x0000_s736841"/>
                </a:ext>
              </a:extLst>
            </xdr:cNvPicPr>
          </xdr:nvPicPr>
          <xdr:blipFill>
            <a:blip xmlns:r="http://schemas.openxmlformats.org/officeDocument/2006/relationships" r:embed="rId1"/>
            <a:srcRect/>
            <a:stretch>
              <a:fillRect/>
            </a:stretch>
          </xdr:blipFill>
          <xdr:spPr bwMode="auto">
            <a:xfrm>
              <a:off x="10701704" y="5408890"/>
              <a:ext cx="6675120" cy="4090107"/>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305021</xdr:colOff>
          <xdr:row>4</xdr:row>
          <xdr:rowOff>103292</xdr:rowOff>
        </xdr:from>
        <xdr:to>
          <xdr:col>25</xdr:col>
          <xdr:colOff>46264</xdr:colOff>
          <xdr:row>24</xdr:row>
          <xdr:rowOff>212257</xdr:rowOff>
        </xdr:to>
        <xdr:pic>
          <xdr:nvPicPr>
            <xdr:cNvPr id="45" name="Picture 8888"/>
            <xdr:cNvPicPr>
              <a:picLocks noChangeAspect="1" noChangeArrowheads="1"/>
              <a:extLst>
                <a:ext uri="{84589F7E-364E-4C9E-8A38-B11213B215E9}">
                  <a14:cameraTool cellRange="PICTURE1" spid="_x0000_s736842"/>
                </a:ext>
              </a:extLst>
            </xdr:cNvPicPr>
          </xdr:nvPicPr>
          <xdr:blipFill>
            <a:blip xmlns:r="http://schemas.openxmlformats.org/officeDocument/2006/relationships" r:embed="rId2"/>
            <a:srcRect/>
            <a:stretch>
              <a:fillRect/>
            </a:stretch>
          </xdr:blipFill>
          <xdr:spPr bwMode="auto">
            <a:xfrm>
              <a:off x="8239346" y="1246292"/>
              <a:ext cx="7313618" cy="4166615"/>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14</xdr:col>
      <xdr:colOff>381978</xdr:colOff>
      <xdr:row>11</xdr:row>
      <xdr:rowOff>72357</xdr:rowOff>
    </xdr:from>
    <xdr:to>
      <xdr:col>15</xdr:col>
      <xdr:colOff>99301</xdr:colOff>
      <xdr:row>12</xdr:row>
      <xdr:rowOff>95485</xdr:rowOff>
    </xdr:to>
    <xdr:sp macro="" textlink="">
      <xdr:nvSpPr>
        <xdr:cNvPr id="2292" name="Text Box 244"/>
        <xdr:cNvSpPr txBox="1">
          <a:spLocks noChangeArrowheads="1"/>
        </xdr:cNvSpPr>
      </xdr:nvSpPr>
      <xdr:spPr bwMode="auto">
        <a:xfrm>
          <a:off x="8925903" y="2644107"/>
          <a:ext cx="326923" cy="223153"/>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23</xdr:col>
      <xdr:colOff>132557</xdr:colOff>
      <xdr:row>9</xdr:row>
      <xdr:rowOff>152400</xdr:rowOff>
    </xdr:from>
    <xdr:to>
      <xdr:col>24</xdr:col>
      <xdr:colOff>16035</xdr:colOff>
      <xdr:row>10</xdr:row>
      <xdr:rowOff>152762</xdr:rowOff>
    </xdr:to>
    <xdr:sp macro="" textlink="'Variable Mgmt'!B213">
      <xdr:nvSpPr>
        <xdr:cNvPr id="2315" name="Text Box 267"/>
        <xdr:cNvSpPr txBox="1">
          <a:spLocks noChangeArrowheads="1" noTextEdit="1"/>
        </xdr:cNvSpPr>
      </xdr:nvSpPr>
      <xdr:spPr bwMode="auto">
        <a:xfrm>
          <a:off x="14420057" y="2324100"/>
          <a:ext cx="493078" cy="200387"/>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1100" b="0" i="0" u="none" strike="noStrike" baseline="0">
              <a:solidFill>
                <a:srgbClr val="000000"/>
              </a:solidFill>
              <a:latin typeface="Arial" pitchFamily="34" charset="0"/>
              <a:cs typeface="Arial" pitchFamily="34" charset="0"/>
            </a:rPr>
            <a:pPr algn="l" rtl="0">
              <a:defRPr sz="1000"/>
            </a:pPr>
            <a:t>100µF</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20</xdr:col>
      <xdr:colOff>471028</xdr:colOff>
      <xdr:row>11</xdr:row>
      <xdr:rowOff>166894</xdr:rowOff>
    </xdr:from>
    <xdr:to>
      <xdr:col>21</xdr:col>
      <xdr:colOff>310312</xdr:colOff>
      <xdr:row>13</xdr:row>
      <xdr:rowOff>15767</xdr:rowOff>
    </xdr:to>
    <xdr:sp macro="" textlink="'Variable Mgmt'!B199">
      <xdr:nvSpPr>
        <xdr:cNvPr id="2323" name="Text Box 275"/>
        <xdr:cNvSpPr txBox="1">
          <a:spLocks noChangeArrowheads="1" noTextEdit="1"/>
        </xdr:cNvSpPr>
      </xdr:nvSpPr>
      <xdr:spPr bwMode="auto">
        <a:xfrm>
          <a:off x="12929728" y="2738644"/>
          <a:ext cx="448884" cy="248923"/>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1050" b="0" i="0" u="none" strike="noStrike" baseline="0">
              <a:solidFill>
                <a:srgbClr val="000000"/>
              </a:solidFill>
              <a:latin typeface="Arial" pitchFamily="34" charset="0"/>
              <a:cs typeface="Arial" pitchFamily="34" charset="0"/>
            </a:rPr>
            <a:pPr algn="ctr" rtl="0">
              <a:defRPr sz="1000"/>
            </a:pPr>
            <a:t>30µH</a:t>
          </a:fld>
          <a:endParaRPr lang="en-US" sz="1050" b="0" i="0" u="none" strike="noStrike" baseline="0">
            <a:solidFill>
              <a:srgbClr val="000000"/>
            </a:solidFill>
            <a:latin typeface="Arial" pitchFamily="34" charset="0"/>
            <a:cs typeface="Arial" pitchFamily="34" charset="0"/>
          </a:endParaRPr>
        </a:p>
      </xdr:txBody>
    </xdr:sp>
    <xdr:clientData/>
  </xdr:twoCellAnchor>
  <xdr:twoCellAnchor>
    <xdr:from>
      <xdr:col>14</xdr:col>
      <xdr:colOff>291064</xdr:colOff>
      <xdr:row>12</xdr:row>
      <xdr:rowOff>96249</xdr:rowOff>
    </xdr:from>
    <xdr:to>
      <xdr:col>15</xdr:col>
      <xdr:colOff>155296</xdr:colOff>
      <xdr:row>13</xdr:row>
      <xdr:rowOff>88852</xdr:rowOff>
    </xdr:to>
    <xdr:sp macro="" textlink="'Variable Mgmt'!B218">
      <xdr:nvSpPr>
        <xdr:cNvPr id="2324" name="Text Box 276"/>
        <xdr:cNvSpPr txBox="1">
          <a:spLocks noChangeArrowheads="1" noTextEdit="1"/>
        </xdr:cNvSpPr>
      </xdr:nvSpPr>
      <xdr:spPr bwMode="auto">
        <a:xfrm>
          <a:off x="8834989" y="2868024"/>
          <a:ext cx="473832" cy="192628"/>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1100" b="0" i="0" u="none" strike="noStrike" baseline="0">
              <a:solidFill>
                <a:srgbClr val="000000"/>
              </a:solidFill>
              <a:latin typeface="Arial" pitchFamily="34" charset="0"/>
              <a:cs typeface="Arial" pitchFamily="34" charset="0"/>
            </a:rPr>
            <a:pPr algn="ctr" rtl="0">
              <a:defRPr sz="1000"/>
            </a:pPr>
            <a:t>4.7µF</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15</xdr:col>
      <xdr:colOff>240362</xdr:colOff>
      <xdr:row>21</xdr:row>
      <xdr:rowOff>19528</xdr:rowOff>
    </xdr:from>
    <xdr:to>
      <xdr:col>16</xdr:col>
      <xdr:colOff>8055</xdr:colOff>
      <xdr:row>22</xdr:row>
      <xdr:rowOff>97673</xdr:rowOff>
    </xdr:to>
    <xdr:sp macro="" textlink="'Variable Mgmt'!D245">
      <xdr:nvSpPr>
        <xdr:cNvPr id="2329" name="Text Box 281"/>
        <xdr:cNvSpPr txBox="1">
          <a:spLocks noChangeArrowheads="1" noTextEdit="1"/>
        </xdr:cNvSpPr>
      </xdr:nvSpPr>
      <xdr:spPr bwMode="auto">
        <a:xfrm>
          <a:off x="9393887" y="4639153"/>
          <a:ext cx="443968" cy="287695"/>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1100" b="0" i="0" u="none" strike="noStrike">
              <a:solidFill>
                <a:srgbClr val="000000"/>
              </a:solidFill>
              <a:latin typeface="Arial"/>
              <a:cs typeface="Arial"/>
            </a:rPr>
            <a:pPr algn="ctr"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13</xdr:col>
      <xdr:colOff>383720</xdr:colOff>
      <xdr:row>6</xdr:row>
      <xdr:rowOff>10907</xdr:rowOff>
    </xdr:from>
    <xdr:to>
      <xdr:col>14</xdr:col>
      <xdr:colOff>285286</xdr:colOff>
      <xdr:row>8</xdr:row>
      <xdr:rowOff>95545</xdr:rowOff>
    </xdr:to>
    <xdr:sp macro="" textlink="'Variable Mgmt'!B205">
      <xdr:nvSpPr>
        <xdr:cNvPr id="2331" name="Text Box 283"/>
        <xdr:cNvSpPr txBox="1">
          <a:spLocks noChangeArrowheads="1" noTextEdit="1"/>
        </xdr:cNvSpPr>
      </xdr:nvSpPr>
      <xdr:spPr bwMode="auto">
        <a:xfrm>
          <a:off x="8318045" y="1601582"/>
          <a:ext cx="511166" cy="465638"/>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24V</a:t>
          </a:fld>
          <a:endParaRPr lang="en-US" sz="1400" b="1" i="0" strike="noStrike">
            <a:solidFill>
              <a:srgbClr val="FF0000"/>
            </a:solidFill>
            <a:latin typeface="Arial" pitchFamily="34" charset="0"/>
            <a:cs typeface="Arial" pitchFamily="34" charset="0"/>
          </a:endParaRPr>
        </a:p>
      </xdr:txBody>
    </xdr:sp>
    <xdr:clientData/>
  </xdr:twoCellAnchor>
  <xdr:twoCellAnchor>
    <xdr:from>
      <xdr:col>24</xdr:col>
      <xdr:colOff>19339</xdr:colOff>
      <xdr:row>6</xdr:row>
      <xdr:rowOff>57503</xdr:rowOff>
    </xdr:from>
    <xdr:to>
      <xdr:col>25</xdr:col>
      <xdr:colOff>74772</xdr:colOff>
      <xdr:row>8</xdr:row>
      <xdr:rowOff>34017</xdr:rowOff>
    </xdr:to>
    <xdr:sp macro="" textlink="'Variable Mgmt'!B208">
      <xdr:nvSpPr>
        <xdr:cNvPr id="2333" name="Text Box 285"/>
        <xdr:cNvSpPr txBox="1">
          <a:spLocks noChangeArrowheads="1" noTextEdit="1"/>
        </xdr:cNvSpPr>
      </xdr:nvSpPr>
      <xdr:spPr bwMode="auto">
        <a:xfrm>
          <a:off x="14916439" y="1648178"/>
          <a:ext cx="665033" cy="35751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5V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23</xdr:col>
      <xdr:colOff>485775</xdr:colOff>
      <xdr:row>7</xdr:row>
      <xdr:rowOff>153310</xdr:rowOff>
    </xdr:from>
    <xdr:to>
      <xdr:col>24</xdr:col>
      <xdr:colOff>427263</xdr:colOff>
      <xdr:row>9</xdr:row>
      <xdr:rowOff>64353</xdr:rowOff>
    </xdr:to>
    <xdr:sp macro="" textlink="'Variable Mgmt'!B263">
      <xdr:nvSpPr>
        <xdr:cNvPr id="2334" name="Text Box 286"/>
        <xdr:cNvSpPr txBox="1">
          <a:spLocks noChangeArrowheads="1" noTextEdit="1"/>
        </xdr:cNvSpPr>
      </xdr:nvSpPr>
      <xdr:spPr bwMode="auto">
        <a:xfrm>
          <a:off x="14773275" y="1924960"/>
          <a:ext cx="551088" cy="311093"/>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1A</a:t>
          </a:fld>
          <a:endParaRPr lang="en-US" sz="135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123825</xdr:colOff>
          <xdr:row>6</xdr:row>
          <xdr:rowOff>9525</xdr:rowOff>
        </xdr:from>
        <xdr:to>
          <xdr:col>5</xdr:col>
          <xdr:colOff>304800</xdr:colOff>
          <xdr:row>7</xdr:row>
          <xdr:rowOff>28575</xdr:rowOff>
        </xdr:to>
        <xdr:sp macro="" textlink="">
          <xdr:nvSpPr>
            <xdr:cNvPr id="672895" name="Spinner 127" hidden="1">
              <a:extLst>
                <a:ext uri="{63B3BB69-23CF-44E3-9099-C40C66FF867C}">
                  <a14:compatExt spid="_x0000_s672895"/>
                </a:ext>
              </a:extLst>
            </xdr:cNvPr>
            <xdr:cNvSpPr/>
          </xdr:nvSpPr>
          <xdr:spPr>
            <a:xfrm>
              <a:off x="0" y="0"/>
              <a:ext cx="0" cy="0"/>
            </a:xfrm>
            <a:prstGeom prst="rect">
              <a:avLst/>
            </a:prstGeom>
          </xdr:spPr>
        </xdr:sp>
        <xdr:clientData/>
      </xdr:twoCellAnchor>
    </mc:Choice>
    <mc:Fallback/>
  </mc:AlternateContent>
  <xdr:twoCellAnchor>
    <xdr:from>
      <xdr:col>15</xdr:col>
      <xdr:colOff>335079</xdr:colOff>
      <xdr:row>10</xdr:row>
      <xdr:rowOff>32564</xdr:rowOff>
    </xdr:from>
    <xdr:to>
      <xdr:col>16</xdr:col>
      <xdr:colOff>183502</xdr:colOff>
      <xdr:row>11</xdr:row>
      <xdr:rowOff>77904</xdr:rowOff>
    </xdr:to>
    <xdr:sp macro="" textlink="'Variable Mgmt'!C237">
      <xdr:nvSpPr>
        <xdr:cNvPr id="71" name="Text Box 268"/>
        <xdr:cNvSpPr txBox="1">
          <a:spLocks noChangeArrowheads="1" noTextEdit="1"/>
        </xdr:cNvSpPr>
      </xdr:nvSpPr>
      <xdr:spPr bwMode="auto">
        <a:xfrm>
          <a:off x="9488604" y="2404289"/>
          <a:ext cx="524698" cy="245365"/>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127kΩ</a:t>
          </a:fld>
          <a:endParaRPr lang="el-GR" sz="1000" b="0" i="0" strike="noStrike">
            <a:solidFill>
              <a:srgbClr val="000000"/>
            </a:solidFill>
            <a:latin typeface="Arial" pitchFamily="34" charset="0"/>
            <a:cs typeface="Arial" pitchFamily="34" charset="0"/>
          </a:endParaRPr>
        </a:p>
      </xdr:txBody>
    </xdr:sp>
    <xdr:clientData/>
  </xdr:twoCellAnchor>
  <xdr:twoCellAnchor>
    <xdr:from>
      <xdr:col>15</xdr:col>
      <xdr:colOff>316029</xdr:colOff>
      <xdr:row>14</xdr:row>
      <xdr:rowOff>215084</xdr:rowOff>
    </xdr:from>
    <xdr:to>
      <xdr:col>16</xdr:col>
      <xdr:colOff>164452</xdr:colOff>
      <xdr:row>15</xdr:row>
      <xdr:rowOff>176021</xdr:rowOff>
    </xdr:to>
    <xdr:sp macro="" textlink="'Variable Mgmt'!C238">
      <xdr:nvSpPr>
        <xdr:cNvPr id="73" name="Text Box 268"/>
        <xdr:cNvSpPr txBox="1">
          <a:spLocks noChangeArrowheads="1" noTextEdit="1"/>
        </xdr:cNvSpPr>
      </xdr:nvSpPr>
      <xdr:spPr bwMode="auto">
        <a:xfrm>
          <a:off x="9469554" y="3386909"/>
          <a:ext cx="524698" cy="208587"/>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20kΩ</a:t>
          </a:fld>
          <a:endParaRPr lang="el-GR" sz="1000" b="0" i="0" strike="noStrike">
            <a:solidFill>
              <a:srgbClr val="000000"/>
            </a:solidFill>
            <a:latin typeface="Arial" pitchFamily="34" charset="0"/>
            <a:cs typeface="Arial" pitchFamily="34" charset="0"/>
          </a:endParaRPr>
        </a:p>
      </xdr:txBody>
    </xdr:sp>
    <xdr:clientData/>
  </xdr:twoCellAnchor>
  <xdr:twoCellAnchor>
    <xdr:from>
      <xdr:col>19</xdr:col>
      <xdr:colOff>325713</xdr:colOff>
      <xdr:row>15</xdr:row>
      <xdr:rowOff>30701</xdr:rowOff>
    </xdr:from>
    <xdr:to>
      <xdr:col>20</xdr:col>
      <xdr:colOff>235357</xdr:colOff>
      <xdr:row>16</xdr:row>
      <xdr:rowOff>65648</xdr:rowOff>
    </xdr:to>
    <xdr:sp macro="" textlink="'Variable Mgmt'!C227">
      <xdr:nvSpPr>
        <xdr:cNvPr id="89" name="Text Box 268"/>
        <xdr:cNvSpPr txBox="1">
          <a:spLocks noChangeArrowheads="1" noTextEdit="1"/>
        </xdr:cNvSpPr>
      </xdr:nvSpPr>
      <xdr:spPr bwMode="auto">
        <a:xfrm>
          <a:off x="12174813" y="3450176"/>
          <a:ext cx="519244" cy="234972"/>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1100" b="0" i="0" u="none" strike="noStrike">
              <a:solidFill>
                <a:srgbClr val="000000"/>
              </a:solidFill>
              <a:latin typeface="Arial"/>
              <a:cs typeface="Arial"/>
            </a:rPr>
            <a:pPr algn="l" rtl="0">
              <a:defRPr sz="1000"/>
            </a:pPr>
            <a:t>158kΩ</a:t>
          </a:fld>
          <a:endParaRPr lang="el-GR" sz="1800" b="0" i="0" strike="noStrike">
            <a:solidFill>
              <a:srgbClr val="000000"/>
            </a:solidFill>
            <a:latin typeface="Arial" pitchFamily="34" charset="0"/>
            <a:cs typeface="Arial" pitchFamily="34" charset="0"/>
          </a:endParaRPr>
        </a:p>
      </xdr:txBody>
    </xdr:sp>
    <xdr:clientData/>
  </xdr:twoCellAnchor>
  <xdr:twoCellAnchor>
    <xdr:from>
      <xdr:col>20</xdr:col>
      <xdr:colOff>366817</xdr:colOff>
      <xdr:row>20</xdr:row>
      <xdr:rowOff>42569</xdr:rowOff>
    </xdr:from>
    <xdr:to>
      <xdr:col>21</xdr:col>
      <xdr:colOff>268980</xdr:colOff>
      <xdr:row>21</xdr:row>
      <xdr:rowOff>43965</xdr:rowOff>
    </xdr:to>
    <xdr:sp macro="" textlink="'Variable Mgmt'!C241">
      <xdr:nvSpPr>
        <xdr:cNvPr id="91" name="Text Box 265"/>
        <xdr:cNvSpPr txBox="1">
          <a:spLocks noChangeArrowheads="1" noTextEdit="1"/>
        </xdr:cNvSpPr>
      </xdr:nvSpPr>
      <xdr:spPr bwMode="auto">
        <a:xfrm>
          <a:off x="12825517" y="4462169"/>
          <a:ext cx="511763" cy="20142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1100" b="0" i="0" u="none" strike="noStrike" baseline="0">
              <a:solidFill>
                <a:srgbClr val="000000"/>
              </a:solidFill>
              <a:latin typeface="Arial"/>
              <a:cs typeface="Arial"/>
            </a:rPr>
            <a:pPr algn="l" rtl="0">
              <a:defRPr sz="1000"/>
            </a:pPr>
            <a:t>12.1kΩ</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13</xdr:col>
      <xdr:colOff>390526</xdr:colOff>
      <xdr:row>8</xdr:row>
      <xdr:rowOff>14707</xdr:rowOff>
    </xdr:from>
    <xdr:to>
      <xdr:col>15</xdr:col>
      <xdr:colOff>200026</xdr:colOff>
      <xdr:row>9</xdr:row>
      <xdr:rowOff>100569</xdr:rowOff>
    </xdr:to>
    <xdr:sp macro="" textlink="'Variable Mgmt'!B206">
      <xdr:nvSpPr>
        <xdr:cNvPr id="35" name="Text Box 283"/>
        <xdr:cNvSpPr txBox="1">
          <a:spLocks noChangeArrowheads="1" noTextEdit="1"/>
        </xdr:cNvSpPr>
      </xdr:nvSpPr>
      <xdr:spPr bwMode="auto">
        <a:xfrm>
          <a:off x="8324851" y="1986382"/>
          <a:ext cx="1028700" cy="285887"/>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200" b="1" i="0" u="none" strike="noStrike">
              <a:solidFill>
                <a:srgbClr val="000000"/>
              </a:solidFill>
              <a:latin typeface="Arial"/>
              <a:cs typeface="Arial"/>
            </a:rPr>
            <a:pPr algn="l" rtl="0">
              <a:defRPr sz="1000"/>
            </a:pPr>
            <a:t>12V...48V</a:t>
          </a:fld>
          <a:endParaRPr lang="en-US" sz="120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27</xdr:row>
          <xdr:rowOff>0</xdr:rowOff>
        </xdr:from>
        <xdr:to>
          <xdr:col>5</xdr:col>
          <xdr:colOff>276225</xdr:colOff>
          <xdr:row>28</xdr:row>
          <xdr:rowOff>28575</xdr:rowOff>
        </xdr:to>
        <xdr:sp macro="" textlink="">
          <xdr:nvSpPr>
            <xdr:cNvPr id="672935" name="Drop Down 167" hidden="1">
              <a:extLst>
                <a:ext uri="{63B3BB69-23CF-44E3-9099-C40C66FF867C}">
                  <a14:compatExt spid="_x0000_s672935"/>
                </a:ext>
              </a:extLst>
            </xdr:cNvPr>
            <xdr:cNvSpPr/>
          </xdr:nvSpPr>
          <xdr:spPr>
            <a:xfrm>
              <a:off x="0" y="0"/>
              <a:ext cx="0" cy="0"/>
            </a:xfrm>
            <a:prstGeom prst="rect">
              <a:avLst/>
            </a:prstGeom>
          </xdr:spPr>
        </xdr:sp>
        <xdr:clientData/>
      </xdr:twoCellAnchor>
    </mc:Choice>
    <mc:Fallback/>
  </mc:AlternateContent>
  <xdr:twoCellAnchor>
    <xdr:from>
      <xdr:col>19</xdr:col>
      <xdr:colOff>345191</xdr:colOff>
      <xdr:row>18</xdr:row>
      <xdr:rowOff>179673</xdr:rowOff>
    </xdr:from>
    <xdr:to>
      <xdr:col>20</xdr:col>
      <xdr:colOff>66463</xdr:colOff>
      <xdr:row>20</xdr:row>
      <xdr:rowOff>31513</xdr:rowOff>
    </xdr:to>
    <xdr:sp macro="" textlink="'Variable Mgmt'!C233">
      <xdr:nvSpPr>
        <xdr:cNvPr id="43" name="Text Box 225"/>
        <xdr:cNvSpPr txBox="1">
          <a:spLocks noChangeArrowheads="1"/>
        </xdr:cNvSpPr>
      </xdr:nvSpPr>
      <xdr:spPr bwMode="auto">
        <a:xfrm>
          <a:off x="12194291" y="4199223"/>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Rtc</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19</xdr:col>
      <xdr:colOff>294863</xdr:colOff>
      <xdr:row>20</xdr:row>
      <xdr:rowOff>24818</xdr:rowOff>
    </xdr:from>
    <xdr:to>
      <xdr:col>20</xdr:col>
      <xdr:colOff>200643</xdr:colOff>
      <xdr:row>21</xdr:row>
      <xdr:rowOff>57525</xdr:rowOff>
    </xdr:to>
    <xdr:sp macro="" textlink="'Variable Mgmt'!B233">
      <xdr:nvSpPr>
        <xdr:cNvPr id="44" name="Text Box 268"/>
        <xdr:cNvSpPr txBox="1">
          <a:spLocks noChangeArrowheads="1" noTextEdit="1"/>
        </xdr:cNvSpPr>
      </xdr:nvSpPr>
      <xdr:spPr bwMode="auto">
        <a:xfrm>
          <a:off x="12143963" y="4444418"/>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158kΩ</a:t>
          </a:fld>
          <a:endParaRPr lang="el-GR" sz="11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33</xdr:row>
          <xdr:rowOff>0</xdr:rowOff>
        </xdr:from>
        <xdr:to>
          <xdr:col>5</xdr:col>
          <xdr:colOff>257175</xdr:colOff>
          <xdr:row>33</xdr:row>
          <xdr:rowOff>200025</xdr:rowOff>
        </xdr:to>
        <xdr:sp macro="" textlink="">
          <xdr:nvSpPr>
            <xdr:cNvPr id="673043" name="Drop Down 275" hidden="1">
              <a:extLst>
                <a:ext uri="{63B3BB69-23CF-44E3-9099-C40C66FF867C}">
                  <a14:compatExt spid="_x0000_s673043"/>
                </a:ext>
              </a:extLst>
            </xdr:cNvPr>
            <xdr:cNvSpPr/>
          </xdr:nvSpPr>
          <xdr:spPr>
            <a:xfrm>
              <a:off x="0" y="0"/>
              <a:ext cx="0" cy="0"/>
            </a:xfrm>
            <a:prstGeom prst="rect">
              <a:avLst/>
            </a:prstGeom>
          </xdr:spPr>
        </xdr:sp>
        <xdr:clientData/>
      </xdr:twoCellAnchor>
    </mc:Choice>
    <mc:Fallback/>
  </mc:AlternateContent>
  <xdr:twoCellAnchor>
    <xdr:from>
      <xdr:col>15</xdr:col>
      <xdr:colOff>355276</xdr:colOff>
      <xdr:row>9</xdr:row>
      <xdr:rowOff>29108</xdr:rowOff>
    </xdr:from>
    <xdr:to>
      <xdr:col>16</xdr:col>
      <xdr:colOff>81051</xdr:colOff>
      <xdr:row>10</xdr:row>
      <xdr:rowOff>59124</xdr:rowOff>
    </xdr:to>
    <xdr:sp macro="" textlink="'Variable Mgmt'!C236">
      <xdr:nvSpPr>
        <xdr:cNvPr id="48" name="Text Box 264"/>
        <xdr:cNvSpPr txBox="1">
          <a:spLocks noChangeArrowheads="1" noTextEdit="1"/>
        </xdr:cNvSpPr>
      </xdr:nvSpPr>
      <xdr:spPr bwMode="auto">
        <a:xfrm>
          <a:off x="9508801" y="2200808"/>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15</xdr:col>
      <xdr:colOff>355276</xdr:colOff>
      <xdr:row>14</xdr:row>
      <xdr:rowOff>23943</xdr:rowOff>
    </xdr:from>
    <xdr:to>
      <xdr:col>16</xdr:col>
      <xdr:colOff>103031</xdr:colOff>
      <xdr:row>14</xdr:row>
      <xdr:rowOff>213188</xdr:rowOff>
    </xdr:to>
    <xdr:sp macro="" textlink="'Variable Mgmt'!D236">
      <xdr:nvSpPr>
        <xdr:cNvPr id="50" name="Text Box 264"/>
        <xdr:cNvSpPr txBox="1">
          <a:spLocks noChangeArrowheads="1" noTextEdit="1"/>
        </xdr:cNvSpPr>
      </xdr:nvSpPr>
      <xdr:spPr bwMode="auto">
        <a:xfrm>
          <a:off x="9508801" y="3195768"/>
          <a:ext cx="424030" cy="189245"/>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15</xdr:col>
      <xdr:colOff>305571</xdr:colOff>
      <xdr:row>19</xdr:row>
      <xdr:rowOff>153969</xdr:rowOff>
    </xdr:from>
    <xdr:to>
      <xdr:col>16</xdr:col>
      <xdr:colOff>73264</xdr:colOff>
      <xdr:row>21</xdr:row>
      <xdr:rowOff>95474</xdr:rowOff>
    </xdr:to>
    <xdr:sp macro="" textlink="'Variable Mgmt'!C246">
      <xdr:nvSpPr>
        <xdr:cNvPr id="49" name="Text Box 281"/>
        <xdr:cNvSpPr txBox="1">
          <a:spLocks noChangeArrowheads="1" noTextEdit="1"/>
        </xdr:cNvSpPr>
      </xdr:nvSpPr>
      <xdr:spPr bwMode="auto">
        <a:xfrm>
          <a:off x="9459096" y="4373544"/>
          <a:ext cx="443968" cy="341555"/>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editAs="oneCell">
    <xdr:from>
      <xdr:col>0</xdr:col>
      <xdr:colOff>78143</xdr:colOff>
      <xdr:row>0</xdr:row>
      <xdr:rowOff>32845</xdr:rowOff>
    </xdr:from>
    <xdr:to>
      <xdr:col>3</xdr:col>
      <xdr:colOff>351439</xdr:colOff>
      <xdr:row>0</xdr:row>
      <xdr:rowOff>571501</xdr:rowOff>
    </xdr:to>
    <xdr:pic macro="[0]!OpenLM27403ProductFolder">
      <xdr:nvPicPr>
        <xdr:cNvPr id="4" name="Picture 3">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432054</xdr:colOff>
      <xdr:row>3</xdr:row>
      <xdr:rowOff>123825</xdr:rowOff>
    </xdr:to>
    <xdr:pic macro="[0]!OpenLM27403ProductFolder">
      <xdr:nvPicPr>
        <xdr:cNvPr id="53" name="Picture 52">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542193</xdr:colOff>
      <xdr:row>3</xdr:row>
      <xdr:rowOff>120958</xdr:rowOff>
    </xdr:to>
    <xdr:pic macro="[0]!OpenLM27403ProductFolder">
      <xdr:nvPicPr>
        <xdr:cNvPr id="54" name="Picture 53">
          <a:hlinkClick xmlns:r="http://schemas.openxmlformats.org/officeDocument/2006/relationships" r:id="rId7"/>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9525</xdr:colOff>
          <xdr:row>11</xdr:row>
          <xdr:rowOff>0</xdr:rowOff>
        </xdr:from>
        <xdr:to>
          <xdr:col>12</xdr:col>
          <xdr:colOff>66675</xdr:colOff>
          <xdr:row>12</xdr:row>
          <xdr:rowOff>9525</xdr:rowOff>
        </xdr:to>
        <xdr:sp macro="" textlink="">
          <xdr:nvSpPr>
            <xdr:cNvPr id="697343" name="Drop Down 3071" hidden="1">
              <a:extLst>
                <a:ext uri="{63B3BB69-23CF-44E3-9099-C40C66FF867C}">
                  <a14:compatExt spid="_x0000_s697343"/>
                </a:ext>
              </a:extLst>
            </xdr:cNvPr>
            <xdr:cNvSpPr/>
          </xdr:nvSpPr>
          <xdr:spPr>
            <a:xfrm>
              <a:off x="0" y="0"/>
              <a:ext cx="0" cy="0"/>
            </a:xfrm>
            <a:prstGeom prst="rect">
              <a:avLst/>
            </a:prstGeom>
          </xdr:spPr>
        </xdr:sp>
        <xdr:clientData/>
      </xdr:twoCellAnchor>
    </mc:Choice>
    <mc:Fallback/>
  </mc:AlternateContent>
  <xdr:twoCellAnchor>
    <xdr:from>
      <xdr:col>19</xdr:col>
      <xdr:colOff>348376</xdr:colOff>
      <xdr:row>14</xdr:row>
      <xdr:rowOff>69974</xdr:rowOff>
    </xdr:from>
    <xdr:to>
      <xdr:col>20</xdr:col>
      <xdr:colOff>61616</xdr:colOff>
      <xdr:row>15</xdr:row>
      <xdr:rowOff>61702</xdr:rowOff>
    </xdr:to>
    <xdr:sp macro="" textlink="">
      <xdr:nvSpPr>
        <xdr:cNvPr id="57" name="Text Box 244"/>
        <xdr:cNvSpPr txBox="1">
          <a:spLocks noChangeArrowheads="1"/>
        </xdr:cNvSpPr>
      </xdr:nvSpPr>
      <xdr:spPr bwMode="auto">
        <a:xfrm>
          <a:off x="12197476" y="3241799"/>
          <a:ext cx="322840" cy="23937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20</xdr:col>
      <xdr:colOff>374043</xdr:colOff>
      <xdr:row>19</xdr:row>
      <xdr:rowOff>1514</xdr:rowOff>
    </xdr:from>
    <xdr:to>
      <xdr:col>21</xdr:col>
      <xdr:colOff>148739</xdr:colOff>
      <xdr:row>20</xdr:row>
      <xdr:rowOff>34871</xdr:rowOff>
    </xdr:to>
    <xdr:sp macro="" textlink="">
      <xdr:nvSpPr>
        <xdr:cNvPr id="58" name="Text Box 244"/>
        <xdr:cNvSpPr txBox="1">
          <a:spLocks noChangeArrowheads="1"/>
        </xdr:cNvSpPr>
      </xdr:nvSpPr>
      <xdr:spPr bwMode="auto">
        <a:xfrm>
          <a:off x="12832743" y="4221089"/>
          <a:ext cx="384296" cy="233382"/>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18</xdr:col>
      <xdr:colOff>548052</xdr:colOff>
      <xdr:row>8</xdr:row>
      <xdr:rowOff>15972</xdr:rowOff>
    </xdr:from>
    <xdr:to>
      <xdr:col>19</xdr:col>
      <xdr:colOff>346548</xdr:colOff>
      <xdr:row>9</xdr:row>
      <xdr:rowOff>76319</xdr:rowOff>
    </xdr:to>
    <xdr:sp macro="" textlink="">
      <xdr:nvSpPr>
        <xdr:cNvPr id="60" name="Text Box 235"/>
        <xdr:cNvSpPr txBox="1">
          <a:spLocks noChangeArrowheads="1"/>
        </xdr:cNvSpPr>
      </xdr:nvSpPr>
      <xdr:spPr bwMode="auto">
        <a:xfrm>
          <a:off x="11730402" y="1987647"/>
          <a:ext cx="465246" cy="260372"/>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19</xdr:col>
      <xdr:colOff>164558</xdr:colOff>
      <xdr:row>11</xdr:row>
      <xdr:rowOff>69250</xdr:rowOff>
    </xdr:from>
    <xdr:to>
      <xdr:col>19</xdr:col>
      <xdr:colOff>436580</xdr:colOff>
      <xdr:row>12</xdr:row>
      <xdr:rowOff>119548</xdr:rowOff>
    </xdr:to>
    <xdr:sp macro="" textlink="">
      <xdr:nvSpPr>
        <xdr:cNvPr id="61" name="Text Box 235"/>
        <xdr:cNvSpPr txBox="1">
          <a:spLocks noChangeArrowheads="1"/>
        </xdr:cNvSpPr>
      </xdr:nvSpPr>
      <xdr:spPr bwMode="auto">
        <a:xfrm>
          <a:off x="12013658" y="2641000"/>
          <a:ext cx="272022" cy="250323"/>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30</xdr:row>
          <xdr:rowOff>9525</xdr:rowOff>
        </xdr:from>
        <xdr:to>
          <xdr:col>5</xdr:col>
          <xdr:colOff>266700</xdr:colOff>
          <xdr:row>31</xdr:row>
          <xdr:rowOff>9525</xdr:rowOff>
        </xdr:to>
        <xdr:sp macro="" textlink="">
          <xdr:nvSpPr>
            <xdr:cNvPr id="714798" name="Drop Down 3118" hidden="1">
              <a:extLst>
                <a:ext uri="{63B3BB69-23CF-44E3-9099-C40C66FF867C}">
                  <a14:compatExt spid="_x0000_s714798"/>
                </a:ext>
              </a:extLst>
            </xdr:cNvPr>
            <xdr:cNvSpPr/>
          </xdr:nvSpPr>
          <xdr:spPr>
            <a:xfrm>
              <a:off x="0" y="0"/>
              <a:ext cx="0" cy="0"/>
            </a:xfrm>
            <a:prstGeom prst="rect">
              <a:avLst/>
            </a:prstGeom>
          </xdr:spPr>
        </xdr:sp>
        <xdr:clientData/>
      </xdr:twoCellAnchor>
    </mc:Choice>
    <mc:Fallback/>
  </mc:AlternateContent>
  <xdr:twoCellAnchor>
    <xdr:from>
      <xdr:col>20</xdr:col>
      <xdr:colOff>304800</xdr:colOff>
      <xdr:row>10</xdr:row>
      <xdr:rowOff>191738</xdr:rowOff>
    </xdr:from>
    <xdr:to>
      <xdr:col>21</xdr:col>
      <xdr:colOff>447675</xdr:colOff>
      <xdr:row>12</xdr:row>
      <xdr:rowOff>38100</xdr:rowOff>
    </xdr:to>
    <xdr:sp macro="" textlink="'Variable Mgmt'!B201">
      <xdr:nvSpPr>
        <xdr:cNvPr id="62" name="Text Box 265"/>
        <xdr:cNvSpPr txBox="1">
          <a:spLocks noChangeArrowheads="1" noTextEdit="1"/>
        </xdr:cNvSpPr>
      </xdr:nvSpPr>
      <xdr:spPr bwMode="auto">
        <a:xfrm>
          <a:off x="12763500" y="2563463"/>
          <a:ext cx="752475" cy="246412"/>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3 : 1</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25</xdr:col>
      <xdr:colOff>571500</xdr:colOff>
      <xdr:row>27</xdr:row>
      <xdr:rowOff>113959</xdr:rowOff>
    </xdr:from>
    <xdr:to>
      <xdr:col>25</xdr:col>
      <xdr:colOff>1049263</xdr:colOff>
      <xdr:row>29</xdr:row>
      <xdr:rowOff>12359</xdr:rowOff>
    </xdr:to>
    <xdr:sp macro="" textlink="'Variable Mgmt'!$B$254">
      <xdr:nvSpPr>
        <xdr:cNvPr id="56" name="Text Box 24"/>
        <xdr:cNvSpPr txBox="1">
          <a:spLocks noChangeArrowheads="1" noTextEdit="1"/>
        </xdr:cNvSpPr>
      </xdr:nvSpPr>
      <xdr:spPr bwMode="auto">
        <a:xfrm>
          <a:off x="16078200" y="5962309"/>
          <a:ext cx="477763" cy="279400"/>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85.2%</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24</xdr:col>
      <xdr:colOff>38389</xdr:colOff>
      <xdr:row>13</xdr:row>
      <xdr:rowOff>88799</xdr:rowOff>
    </xdr:from>
    <xdr:to>
      <xdr:col>25</xdr:col>
      <xdr:colOff>93822</xdr:colOff>
      <xdr:row>14</xdr:row>
      <xdr:rowOff>236764</xdr:rowOff>
    </xdr:to>
    <xdr:sp macro="" textlink="'Variable Mgmt'!B209">
      <xdr:nvSpPr>
        <xdr:cNvPr id="42" name="Text Box 285"/>
        <xdr:cNvSpPr txBox="1">
          <a:spLocks noChangeArrowheads="1" noTextEdit="1"/>
        </xdr:cNvSpPr>
      </xdr:nvSpPr>
      <xdr:spPr bwMode="auto">
        <a:xfrm>
          <a:off x="14935489" y="3060599"/>
          <a:ext cx="665033" cy="347990"/>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23</xdr:col>
      <xdr:colOff>418167</xdr:colOff>
      <xdr:row>14</xdr:row>
      <xdr:rowOff>147867</xdr:rowOff>
    </xdr:from>
    <xdr:to>
      <xdr:col>24</xdr:col>
      <xdr:colOff>561280</xdr:colOff>
      <xdr:row>15</xdr:row>
      <xdr:rowOff>199064</xdr:rowOff>
    </xdr:to>
    <xdr:sp macro="" textlink="'Variable Mgmt'!B264">
      <xdr:nvSpPr>
        <xdr:cNvPr id="46" name="Text Box 286"/>
        <xdr:cNvSpPr txBox="1">
          <a:spLocks noChangeArrowheads="1" noTextEdit="1"/>
        </xdr:cNvSpPr>
      </xdr:nvSpPr>
      <xdr:spPr bwMode="auto">
        <a:xfrm>
          <a:off x="14705667" y="3319692"/>
          <a:ext cx="752713" cy="298847"/>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24</xdr:col>
      <xdr:colOff>289</xdr:colOff>
      <xdr:row>15</xdr:row>
      <xdr:rowOff>128260</xdr:rowOff>
    </xdr:from>
    <xdr:to>
      <xdr:col>25</xdr:col>
      <xdr:colOff>55722</xdr:colOff>
      <xdr:row>17</xdr:row>
      <xdr:rowOff>74839</xdr:rowOff>
    </xdr:to>
    <xdr:sp macro="" textlink="'Variable Mgmt'!B210">
      <xdr:nvSpPr>
        <xdr:cNvPr id="47" name="Text Box 285"/>
        <xdr:cNvSpPr txBox="1">
          <a:spLocks noChangeArrowheads="1" noTextEdit="1"/>
        </xdr:cNvSpPr>
      </xdr:nvSpPr>
      <xdr:spPr bwMode="auto">
        <a:xfrm>
          <a:off x="14897389" y="3547735"/>
          <a:ext cx="665033" cy="346629"/>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23</xdr:col>
      <xdr:colOff>437217</xdr:colOff>
      <xdr:row>16</xdr:row>
      <xdr:rowOff>190049</xdr:rowOff>
    </xdr:from>
    <xdr:to>
      <xdr:col>24</xdr:col>
      <xdr:colOff>580330</xdr:colOff>
      <xdr:row>18</xdr:row>
      <xdr:rowOff>90207</xdr:rowOff>
    </xdr:to>
    <xdr:sp macro="" textlink="'Variable Mgmt'!B265">
      <xdr:nvSpPr>
        <xdr:cNvPr id="51" name="Text Box 286"/>
        <xdr:cNvSpPr txBox="1">
          <a:spLocks noChangeArrowheads="1" noTextEdit="1"/>
        </xdr:cNvSpPr>
      </xdr:nvSpPr>
      <xdr:spPr bwMode="auto">
        <a:xfrm>
          <a:off x="14724717" y="3809549"/>
          <a:ext cx="752713" cy="300208"/>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23</xdr:col>
      <xdr:colOff>132557</xdr:colOff>
      <xdr:row>14</xdr:row>
      <xdr:rowOff>179147</xdr:rowOff>
    </xdr:from>
    <xdr:to>
      <xdr:col>24</xdr:col>
      <xdr:colOff>16035</xdr:colOff>
      <xdr:row>15</xdr:row>
      <xdr:rowOff>105137</xdr:rowOff>
    </xdr:to>
    <xdr:sp macro="" textlink="'Variable Mgmt'!D213">
      <xdr:nvSpPr>
        <xdr:cNvPr id="55" name="Text Box 267"/>
        <xdr:cNvSpPr txBox="1">
          <a:spLocks noChangeArrowheads="1" noTextEdit="1"/>
        </xdr:cNvSpPr>
      </xdr:nvSpPr>
      <xdr:spPr bwMode="auto">
        <a:xfrm>
          <a:off x="14420057" y="3350972"/>
          <a:ext cx="493078" cy="173640"/>
        </a:xfrm>
        <a:prstGeom prst="rect">
          <a:avLst/>
        </a:prstGeom>
        <a:noFill/>
        <a:ln w="9525">
          <a:noFill/>
          <a:miter lim="800000"/>
          <a:headEnd/>
          <a:tailEnd/>
        </a:ln>
      </xdr:spPr>
      <xdr:txBody>
        <a:bodyPr vertOverflow="clip" wrap="square" lIns="27432" tIns="22860" rIns="0" bIns="0" anchor="ctr" upright="1"/>
        <a:lstStyle/>
        <a:p>
          <a:pPr algn="l" rtl="0">
            <a:defRPr sz="1000"/>
          </a:pPr>
          <a:fld id="{2B13305E-FBF9-43A5-B29E-67B7B248F534}" type="TxLink">
            <a:rPr lang="en-US" sz="1000" b="0" i="0" u="none" strike="noStrike" baseline="0">
              <a:solidFill>
                <a:srgbClr val="000000"/>
              </a:solidFill>
              <a:latin typeface="Arial"/>
              <a:cs typeface="Arial"/>
            </a:rPr>
            <a:pPr algn="l" rtl="0">
              <a:defRPr sz="1000"/>
            </a:pPr>
            <a:t> </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23</xdr:col>
      <xdr:colOff>132557</xdr:colOff>
      <xdr:row>16</xdr:row>
      <xdr:rowOff>141047</xdr:rowOff>
    </xdr:from>
    <xdr:to>
      <xdr:col>24</xdr:col>
      <xdr:colOff>16035</xdr:colOff>
      <xdr:row>17</xdr:row>
      <xdr:rowOff>124187</xdr:rowOff>
    </xdr:to>
    <xdr:sp macro="" textlink="'Variable Mgmt'!C213">
      <xdr:nvSpPr>
        <xdr:cNvPr id="67" name="Text Box 267"/>
        <xdr:cNvSpPr txBox="1">
          <a:spLocks noChangeArrowheads="1" noTextEdit="1"/>
        </xdr:cNvSpPr>
      </xdr:nvSpPr>
      <xdr:spPr bwMode="auto">
        <a:xfrm>
          <a:off x="14420057" y="3760547"/>
          <a:ext cx="493078" cy="183165"/>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1100" b="0" i="0" u="none" strike="noStrike" baseline="0">
              <a:solidFill>
                <a:srgbClr val="000000"/>
              </a:solidFill>
              <a:latin typeface="Arial"/>
              <a:cs typeface="Arial"/>
            </a:rPr>
            <a:pPr algn="l" rtl="0">
              <a:defRPr sz="1000"/>
            </a:pPr>
            <a:t> </a:t>
          </a:fld>
          <a:endParaRPr lang="en-US" sz="1400" b="0" i="0" u="none" strike="noStrike" baseline="0">
            <a:solidFill>
              <a:srgbClr val="000000"/>
            </a:solidFill>
            <a:latin typeface="Arial" pitchFamily="34" charset="0"/>
            <a:cs typeface="Arial" pitchFamily="34" charset="0"/>
          </a:endParaRPr>
        </a:p>
      </xdr:txBody>
    </xdr:sp>
    <xdr:clientData/>
  </xdr:twoCellAnchor>
  <xdr:twoCellAnchor>
    <xdr:from>
      <xdr:col>20</xdr:col>
      <xdr:colOff>461791</xdr:colOff>
      <xdr:row>5</xdr:row>
      <xdr:rowOff>140393</xdr:rowOff>
    </xdr:from>
    <xdr:to>
      <xdr:col>21</xdr:col>
      <xdr:colOff>172310</xdr:colOff>
      <xdr:row>7</xdr:row>
      <xdr:rowOff>7039</xdr:rowOff>
    </xdr:to>
    <xdr:sp macro="" textlink="">
      <xdr:nvSpPr>
        <xdr:cNvPr id="52" name="Text Box 244"/>
        <xdr:cNvSpPr txBox="1">
          <a:spLocks noChangeArrowheads="1"/>
        </xdr:cNvSpPr>
      </xdr:nvSpPr>
      <xdr:spPr bwMode="auto">
        <a:xfrm>
          <a:off x="12920491" y="1531043"/>
          <a:ext cx="320119" cy="247646"/>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24</xdr:row>
          <xdr:rowOff>247649</xdr:rowOff>
        </xdr:from>
        <xdr:to>
          <xdr:col>17</xdr:col>
          <xdr:colOff>141358</xdr:colOff>
          <xdr:row>45</xdr:row>
          <xdr:rowOff>104774</xdr:rowOff>
        </xdr:to>
        <xdr:pic>
          <xdr:nvPicPr>
            <xdr:cNvPr id="65" name="Picture 8888"/>
            <xdr:cNvPicPr>
              <a:picLocks noChangeAspect="1" noChangeArrowheads="1"/>
              <a:extLst>
                <a:ext uri="{84589F7E-364E-4C9E-8A38-B11213B215E9}">
                  <a14:cameraTool cellRange="PICTURE2" spid="_x0000_s736843"/>
                </a:ext>
              </a:extLst>
            </xdr:cNvPicPr>
          </xdr:nvPicPr>
          <xdr:blipFill>
            <a:blip xmlns:r="http://schemas.openxmlformats.org/officeDocument/2006/relationships" r:embed="rId9"/>
            <a:srcRect/>
            <a:stretch>
              <a:fillRect/>
            </a:stretch>
          </xdr:blipFill>
          <xdr:spPr bwMode="auto">
            <a:xfrm>
              <a:off x="3962400" y="5448299"/>
              <a:ext cx="6685033" cy="4124325"/>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56">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78%</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54">
      <xdr:nvSpPr>
        <xdr:cNvPr id="5" name="Text Box 24"/>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85.2%</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54">
      <xdr:nvSpPr>
        <xdr:cNvPr id="6" name="Text Box 24"/>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85.2%</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xdr:cNvPicPr>
              <a:picLocks noChangeAspect="1" noChangeArrowheads="1"/>
              <a:extLst>
                <a:ext uri="{84589F7E-364E-4C9E-8A38-B11213B215E9}">
                  <a14:cameraTool cellRange="PICTURE3" spid="_x0000_s729481"/>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xdr:cNvPicPr>
              <a:picLocks noChangeAspect="1" noChangeArrowheads="1"/>
              <a:extLst>
                <a:ext uri="{84589F7E-364E-4C9E-8A38-B11213B215E9}">
                  <a14:cameraTool cellRange="PICTURE2" spid="_x0000_s733576"/>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xdr:cNvGrpSpPr>
          <a:grpSpLocks/>
        </xdr:cNvGrpSpPr>
      </xdr:nvGrpSpPr>
      <xdr:grpSpPr bwMode="auto">
        <a:xfrm>
          <a:off x="33108900" y="65131950"/>
          <a:ext cx="0" cy="4333875"/>
          <a:chOff x="953" y="747"/>
          <a:chExt cx="76" cy="41"/>
        </a:xfrm>
      </xdr:grpSpPr>
      <xdr:sp macro="" textlink="">
        <xdr:nvSpPr>
          <xdr:cNvPr id="6" name="Text Box 26"/>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3</xdr:col>
      <xdr:colOff>609599</xdr:colOff>
      <xdr:row>6</xdr:row>
      <xdr:rowOff>0</xdr:rowOff>
    </xdr:from>
    <xdr:to>
      <xdr:col>4</xdr:col>
      <xdr:colOff>8229599</xdr:colOff>
      <xdr:row>6</xdr:row>
      <xdr:rowOff>4480726</xdr:rowOff>
    </xdr:to>
    <xdr:pic>
      <xdr:nvPicPr>
        <xdr:cNvPr id="82" name="Picture 8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49" y="102870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609599</xdr:colOff>
      <xdr:row>6</xdr:row>
      <xdr:rowOff>0</xdr:rowOff>
    </xdr:from>
    <xdr:to>
      <xdr:col>7</xdr:col>
      <xdr:colOff>8229599</xdr:colOff>
      <xdr:row>6</xdr:row>
      <xdr:rowOff>4480726</xdr:rowOff>
    </xdr:to>
    <xdr:pic>
      <xdr:nvPicPr>
        <xdr:cNvPr id="84" name="Picture 8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916774" y="102870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847724</xdr:colOff>
      <xdr:row>8</xdr:row>
      <xdr:rowOff>0</xdr:rowOff>
    </xdr:from>
    <xdr:to>
      <xdr:col>1</xdr:col>
      <xdr:colOff>8229599</xdr:colOff>
      <xdr:row>8</xdr:row>
      <xdr:rowOff>4480726</xdr:rowOff>
    </xdr:to>
    <xdr:pic>
      <xdr:nvPicPr>
        <xdr:cNvPr id="51" name="Picture 5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7724" y="5781675"/>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847724</xdr:colOff>
      <xdr:row>10</xdr:row>
      <xdr:rowOff>0</xdr:rowOff>
    </xdr:from>
    <xdr:to>
      <xdr:col>1</xdr:col>
      <xdr:colOff>8229599</xdr:colOff>
      <xdr:row>10</xdr:row>
      <xdr:rowOff>4480726</xdr:rowOff>
    </xdr:to>
    <xdr:pic>
      <xdr:nvPicPr>
        <xdr:cNvPr id="52" name="Picture 5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7724" y="1057275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12</xdr:row>
      <xdr:rowOff>0</xdr:rowOff>
    </xdr:from>
    <xdr:to>
      <xdr:col>1</xdr:col>
      <xdr:colOff>8229599</xdr:colOff>
      <xdr:row>12</xdr:row>
      <xdr:rowOff>4480726</xdr:rowOff>
    </xdr:to>
    <xdr:pic>
      <xdr:nvPicPr>
        <xdr:cNvPr id="53" name="Picture 5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43642" y="15267214"/>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14</xdr:row>
      <xdr:rowOff>-1</xdr:rowOff>
    </xdr:from>
    <xdr:to>
      <xdr:col>1</xdr:col>
      <xdr:colOff>8229599</xdr:colOff>
      <xdr:row>14</xdr:row>
      <xdr:rowOff>4480725</xdr:rowOff>
    </xdr:to>
    <xdr:pic>
      <xdr:nvPicPr>
        <xdr:cNvPr id="73" name="Picture 7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3642" y="19961678"/>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6</xdr:row>
      <xdr:rowOff>0</xdr:rowOff>
    </xdr:from>
    <xdr:to>
      <xdr:col>1</xdr:col>
      <xdr:colOff>8229599</xdr:colOff>
      <xdr:row>6</xdr:row>
      <xdr:rowOff>4480726</xdr:rowOff>
    </xdr:to>
    <xdr:pic>
      <xdr:nvPicPr>
        <xdr:cNvPr id="76" name="Picture 7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43642" y="1034143"/>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16</xdr:row>
      <xdr:rowOff>0</xdr:rowOff>
    </xdr:from>
    <xdr:to>
      <xdr:col>1</xdr:col>
      <xdr:colOff>8229599</xdr:colOff>
      <xdr:row>16</xdr:row>
      <xdr:rowOff>4480726</xdr:rowOff>
    </xdr:to>
    <xdr:pic>
      <xdr:nvPicPr>
        <xdr:cNvPr id="77" name="Picture 76"/>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43642" y="24656143"/>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18</xdr:row>
      <xdr:rowOff>0</xdr:rowOff>
    </xdr:from>
    <xdr:to>
      <xdr:col>1</xdr:col>
      <xdr:colOff>8229599</xdr:colOff>
      <xdr:row>18</xdr:row>
      <xdr:rowOff>4480726</xdr:rowOff>
    </xdr:to>
    <xdr:pic>
      <xdr:nvPicPr>
        <xdr:cNvPr id="85" name="Picture 84"/>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43642" y="2933700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20</xdr:row>
      <xdr:rowOff>0</xdr:rowOff>
    </xdr:from>
    <xdr:to>
      <xdr:col>1</xdr:col>
      <xdr:colOff>8229599</xdr:colOff>
      <xdr:row>20</xdr:row>
      <xdr:rowOff>4480726</xdr:rowOff>
    </xdr:to>
    <xdr:pic>
      <xdr:nvPicPr>
        <xdr:cNvPr id="86" name="Picture 8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3642" y="33949821"/>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8</xdr:row>
      <xdr:rowOff>0</xdr:rowOff>
    </xdr:from>
    <xdr:to>
      <xdr:col>4</xdr:col>
      <xdr:colOff>8229599</xdr:colOff>
      <xdr:row>8</xdr:row>
      <xdr:rowOff>4480726</xdr:rowOff>
    </xdr:to>
    <xdr:pic>
      <xdr:nvPicPr>
        <xdr:cNvPr id="17" name="Picture 16"/>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382249" y="5783036"/>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10</xdr:row>
      <xdr:rowOff>0</xdr:rowOff>
    </xdr:from>
    <xdr:to>
      <xdr:col>4</xdr:col>
      <xdr:colOff>8229599</xdr:colOff>
      <xdr:row>10</xdr:row>
      <xdr:rowOff>4480726</xdr:rowOff>
    </xdr:to>
    <xdr:pic>
      <xdr:nvPicPr>
        <xdr:cNvPr id="19" name="Picture 18"/>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382249" y="1047750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12</xdr:row>
      <xdr:rowOff>0</xdr:rowOff>
    </xdr:from>
    <xdr:to>
      <xdr:col>4</xdr:col>
      <xdr:colOff>8229599</xdr:colOff>
      <xdr:row>12</xdr:row>
      <xdr:rowOff>4480726</xdr:rowOff>
    </xdr:to>
    <xdr:pic>
      <xdr:nvPicPr>
        <xdr:cNvPr id="20" name="Picture 19"/>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382249" y="15171964"/>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14</xdr:row>
      <xdr:rowOff>0</xdr:rowOff>
    </xdr:from>
    <xdr:to>
      <xdr:col>4</xdr:col>
      <xdr:colOff>8229599</xdr:colOff>
      <xdr:row>14</xdr:row>
      <xdr:rowOff>4480726</xdr:rowOff>
    </xdr:to>
    <xdr:pic>
      <xdr:nvPicPr>
        <xdr:cNvPr id="21" name="Picture 20"/>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382249" y="19866429"/>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16</xdr:row>
      <xdr:rowOff>0</xdr:rowOff>
    </xdr:from>
    <xdr:to>
      <xdr:col>4</xdr:col>
      <xdr:colOff>8229599</xdr:colOff>
      <xdr:row>16</xdr:row>
      <xdr:rowOff>4480726</xdr:rowOff>
    </xdr:to>
    <xdr:pic>
      <xdr:nvPicPr>
        <xdr:cNvPr id="22" name="Picture 21"/>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382249" y="24560893"/>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18</xdr:row>
      <xdr:rowOff>0</xdr:rowOff>
    </xdr:from>
    <xdr:to>
      <xdr:col>4</xdr:col>
      <xdr:colOff>8229599</xdr:colOff>
      <xdr:row>18</xdr:row>
      <xdr:rowOff>4480726</xdr:rowOff>
    </xdr:to>
    <xdr:pic>
      <xdr:nvPicPr>
        <xdr:cNvPr id="23" name="Picture 22"/>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382249" y="2924175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20</xdr:row>
      <xdr:rowOff>0</xdr:rowOff>
    </xdr:from>
    <xdr:to>
      <xdr:col>4</xdr:col>
      <xdr:colOff>8229599</xdr:colOff>
      <xdr:row>20</xdr:row>
      <xdr:rowOff>4480726</xdr:rowOff>
    </xdr:to>
    <xdr:pic>
      <xdr:nvPicPr>
        <xdr:cNvPr id="24" name="Picture 23"/>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382249" y="33949821"/>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8</xdr:row>
      <xdr:rowOff>0</xdr:rowOff>
    </xdr:from>
    <xdr:to>
      <xdr:col>7</xdr:col>
      <xdr:colOff>8229599</xdr:colOff>
      <xdr:row>8</xdr:row>
      <xdr:rowOff>4480726</xdr:rowOff>
    </xdr:to>
    <xdr:pic>
      <xdr:nvPicPr>
        <xdr:cNvPr id="25" name="Picture 24"/>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9898590" y="5766955"/>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10</xdr:row>
      <xdr:rowOff>0</xdr:rowOff>
    </xdr:from>
    <xdr:to>
      <xdr:col>7</xdr:col>
      <xdr:colOff>8229599</xdr:colOff>
      <xdr:row>10</xdr:row>
      <xdr:rowOff>4480726</xdr:rowOff>
    </xdr:to>
    <xdr:pic>
      <xdr:nvPicPr>
        <xdr:cNvPr id="27" name="Picture 26"/>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9898590" y="10460182"/>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12</xdr:row>
      <xdr:rowOff>0</xdr:rowOff>
    </xdr:from>
    <xdr:to>
      <xdr:col>7</xdr:col>
      <xdr:colOff>8229599</xdr:colOff>
      <xdr:row>12</xdr:row>
      <xdr:rowOff>4480726</xdr:rowOff>
    </xdr:to>
    <xdr:pic>
      <xdr:nvPicPr>
        <xdr:cNvPr id="28" name="Picture 27"/>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9898590" y="15153409"/>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14</xdr:row>
      <xdr:rowOff>0</xdr:rowOff>
    </xdr:from>
    <xdr:to>
      <xdr:col>7</xdr:col>
      <xdr:colOff>8229599</xdr:colOff>
      <xdr:row>14</xdr:row>
      <xdr:rowOff>4480726</xdr:rowOff>
    </xdr:to>
    <xdr:pic>
      <xdr:nvPicPr>
        <xdr:cNvPr id="29" name="Picture 28"/>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9898590" y="19846636"/>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16</xdr:row>
      <xdr:rowOff>0</xdr:rowOff>
    </xdr:from>
    <xdr:to>
      <xdr:col>7</xdr:col>
      <xdr:colOff>8229599</xdr:colOff>
      <xdr:row>16</xdr:row>
      <xdr:rowOff>4480726</xdr:rowOff>
    </xdr:to>
    <xdr:pic>
      <xdr:nvPicPr>
        <xdr:cNvPr id="31" name="Picture 30"/>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9898590" y="24539864"/>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18</xdr:row>
      <xdr:rowOff>0</xdr:rowOff>
    </xdr:from>
    <xdr:to>
      <xdr:col>7</xdr:col>
      <xdr:colOff>8229599</xdr:colOff>
      <xdr:row>18</xdr:row>
      <xdr:rowOff>4480726</xdr:rowOff>
    </xdr:to>
    <xdr:pic>
      <xdr:nvPicPr>
        <xdr:cNvPr id="33" name="Picture 32"/>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9898590" y="29233091"/>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20</xdr:row>
      <xdr:rowOff>0</xdr:rowOff>
    </xdr:from>
    <xdr:to>
      <xdr:col>7</xdr:col>
      <xdr:colOff>8229599</xdr:colOff>
      <xdr:row>20</xdr:row>
      <xdr:rowOff>4480726</xdr:rowOff>
    </xdr:to>
    <xdr:pic>
      <xdr:nvPicPr>
        <xdr:cNvPr id="34" name="Picture 33"/>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9898590" y="33943636"/>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9525</xdr:rowOff>
        </xdr:from>
        <xdr:to>
          <xdr:col>6</xdr:col>
          <xdr:colOff>876300</xdr:colOff>
          <xdr:row>31</xdr:row>
          <xdr:rowOff>0</xdr:rowOff>
        </xdr:to>
        <xdr:sp macro="" textlink="">
          <xdr:nvSpPr>
            <xdr:cNvPr id="674505" name="Drop Down 713" hidden="1">
              <a:extLst>
                <a:ext uri="{63B3BB69-23CF-44E3-9099-C40C66FF867C}">
                  <a14:compatExt spid="_x0000_s674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9525</xdr:rowOff>
        </xdr:from>
        <xdr:to>
          <xdr:col>6</xdr:col>
          <xdr:colOff>876300</xdr:colOff>
          <xdr:row>32</xdr:row>
          <xdr:rowOff>0</xdr:rowOff>
        </xdr:to>
        <xdr:sp macro="" textlink="">
          <xdr:nvSpPr>
            <xdr:cNvPr id="674508" name="Drop Down 716" hidden="1">
              <a:extLst>
                <a:ext uri="{63B3BB69-23CF-44E3-9099-C40C66FF867C}">
                  <a14:compatExt spid="_x0000_s674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9525</xdr:rowOff>
        </xdr:from>
        <xdr:to>
          <xdr:col>6</xdr:col>
          <xdr:colOff>876300</xdr:colOff>
          <xdr:row>36</xdr:row>
          <xdr:rowOff>0</xdr:rowOff>
        </xdr:to>
        <xdr:sp macro="" textlink="">
          <xdr:nvSpPr>
            <xdr:cNvPr id="674527" name="Drop Down 735" hidden="1">
              <a:extLst>
                <a:ext uri="{63B3BB69-23CF-44E3-9099-C40C66FF867C}">
                  <a14:compatExt spid="_x0000_s674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9525</xdr:rowOff>
        </xdr:from>
        <xdr:to>
          <xdr:col>6</xdr:col>
          <xdr:colOff>876300</xdr:colOff>
          <xdr:row>41</xdr:row>
          <xdr:rowOff>0</xdr:rowOff>
        </xdr:to>
        <xdr:sp macro="" textlink="">
          <xdr:nvSpPr>
            <xdr:cNvPr id="674534" name="Drop Down 742" hidden="1">
              <a:extLst>
                <a:ext uri="{63B3BB69-23CF-44E3-9099-C40C66FF867C}">
                  <a14:compatExt spid="_x0000_s674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9525</xdr:rowOff>
        </xdr:from>
        <xdr:to>
          <xdr:col>6</xdr:col>
          <xdr:colOff>876300</xdr:colOff>
          <xdr:row>38</xdr:row>
          <xdr:rowOff>0</xdr:rowOff>
        </xdr:to>
        <xdr:sp macro="" textlink="">
          <xdr:nvSpPr>
            <xdr:cNvPr id="674536" name="Drop Down 744" hidden="1">
              <a:extLst>
                <a:ext uri="{63B3BB69-23CF-44E3-9099-C40C66FF867C}">
                  <a14:compatExt spid="_x0000_s674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9525</xdr:rowOff>
        </xdr:from>
        <xdr:to>
          <xdr:col>6</xdr:col>
          <xdr:colOff>876300</xdr:colOff>
          <xdr:row>37</xdr:row>
          <xdr:rowOff>0</xdr:rowOff>
        </xdr:to>
        <xdr:sp macro="" textlink="">
          <xdr:nvSpPr>
            <xdr:cNvPr id="674539" name="Drop Down 747" hidden="1">
              <a:extLst>
                <a:ext uri="{63B3BB69-23CF-44E3-9099-C40C66FF867C}">
                  <a14:compatExt spid="_x0000_s674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6</xdr:col>
          <xdr:colOff>876300</xdr:colOff>
          <xdr:row>40</xdr:row>
          <xdr:rowOff>0</xdr:rowOff>
        </xdr:to>
        <xdr:sp macro="" textlink="">
          <xdr:nvSpPr>
            <xdr:cNvPr id="674540" name="Drop Down 748" hidden="1">
              <a:extLst>
                <a:ext uri="{63B3BB69-23CF-44E3-9099-C40C66FF867C}">
                  <a14:compatExt spid="_x0000_s674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9525</xdr:rowOff>
        </xdr:from>
        <xdr:to>
          <xdr:col>6</xdr:col>
          <xdr:colOff>876300</xdr:colOff>
          <xdr:row>42</xdr:row>
          <xdr:rowOff>0</xdr:rowOff>
        </xdr:to>
        <xdr:sp macro="" textlink="">
          <xdr:nvSpPr>
            <xdr:cNvPr id="674541" name="Drop Down 749" hidden="1">
              <a:extLst>
                <a:ext uri="{63B3BB69-23CF-44E3-9099-C40C66FF867C}">
                  <a14:compatExt spid="_x0000_s674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9525</xdr:rowOff>
        </xdr:from>
        <xdr:to>
          <xdr:col>6</xdr:col>
          <xdr:colOff>876300</xdr:colOff>
          <xdr:row>43</xdr:row>
          <xdr:rowOff>0</xdr:rowOff>
        </xdr:to>
        <xdr:sp macro="" textlink="">
          <xdr:nvSpPr>
            <xdr:cNvPr id="674542" name="Drop Down 750" hidden="1">
              <a:extLst>
                <a:ext uri="{63B3BB69-23CF-44E3-9099-C40C66FF867C}">
                  <a14:compatExt spid="_x0000_s674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9525</xdr:rowOff>
        </xdr:from>
        <xdr:to>
          <xdr:col>6</xdr:col>
          <xdr:colOff>876300</xdr:colOff>
          <xdr:row>44</xdr:row>
          <xdr:rowOff>0</xdr:rowOff>
        </xdr:to>
        <xdr:sp macro="" textlink="">
          <xdr:nvSpPr>
            <xdr:cNvPr id="674543" name="Drop Down 751" hidden="1">
              <a:extLst>
                <a:ext uri="{63B3BB69-23CF-44E3-9099-C40C66FF867C}">
                  <a14:compatExt spid="_x0000_s674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9525</xdr:rowOff>
        </xdr:from>
        <xdr:to>
          <xdr:col>6</xdr:col>
          <xdr:colOff>876300</xdr:colOff>
          <xdr:row>35</xdr:row>
          <xdr:rowOff>0</xdr:rowOff>
        </xdr:to>
        <xdr:sp macro="" textlink="">
          <xdr:nvSpPr>
            <xdr:cNvPr id="674544" name="Drop Down 752" hidden="1">
              <a:extLst>
                <a:ext uri="{63B3BB69-23CF-44E3-9099-C40C66FF867C}">
                  <a14:compatExt spid="_x0000_s674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9525</xdr:rowOff>
        </xdr:from>
        <xdr:to>
          <xdr:col>6</xdr:col>
          <xdr:colOff>876300</xdr:colOff>
          <xdr:row>45</xdr:row>
          <xdr:rowOff>0</xdr:rowOff>
        </xdr:to>
        <xdr:sp macro="" textlink="">
          <xdr:nvSpPr>
            <xdr:cNvPr id="674632" name="Drop Down 840" hidden="1">
              <a:extLst>
                <a:ext uri="{63B3BB69-23CF-44E3-9099-C40C66FF867C}">
                  <a14:compatExt spid="_x0000_s674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9525</xdr:rowOff>
        </xdr:from>
        <xdr:to>
          <xdr:col>6</xdr:col>
          <xdr:colOff>876300</xdr:colOff>
          <xdr:row>34</xdr:row>
          <xdr:rowOff>0</xdr:rowOff>
        </xdr:to>
        <xdr:sp macro="" textlink="">
          <xdr:nvSpPr>
            <xdr:cNvPr id="674633" name="Drop Down 841" hidden="1">
              <a:extLst>
                <a:ext uri="{63B3BB69-23CF-44E3-9099-C40C66FF867C}">
                  <a14:compatExt spid="_x0000_s674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xdr:cNvPicPr>
              <a:picLocks noChangeAspect="1" noChangeArrowheads="1"/>
              <a:extLst>
                <a:ext uri="{84589F7E-364E-4C9E-8A38-B11213B215E9}">
                  <a14:cameraTool cellRange="PICTURE1" spid="_x0000_s706397"/>
                </a:ext>
              </a:extLst>
            </xdr:cNvPicPr>
          </xdr:nvPicPr>
          <xdr:blipFill>
            <a:blip xmlns:r="http://schemas.openxmlformats.org/officeDocument/2006/relationships" r:embed="rId1"/>
            <a:srcRect/>
            <a:stretch>
              <a:fillRect/>
            </a:stretch>
          </xdr:blipFill>
          <xdr:spPr bwMode="auto">
            <a:xfrm>
              <a:off x="370999" y="95250"/>
              <a:ext cx="7308175" cy="4172058"/>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420742</xdr:colOff>
      <xdr:row>9</xdr:row>
      <xdr:rowOff>23494</xdr:rowOff>
    </xdr:from>
    <xdr:to>
      <xdr:col>1</xdr:col>
      <xdr:colOff>743582</xdr:colOff>
      <xdr:row>10</xdr:row>
      <xdr:rowOff>95608</xdr:rowOff>
    </xdr:to>
    <xdr:sp macro="" textlink="">
      <xdr:nvSpPr>
        <xdr:cNvPr id="78" name="Text Box 244"/>
        <xdr:cNvSpPr txBox="1">
          <a:spLocks noChangeArrowheads="1"/>
        </xdr:cNvSpPr>
      </xdr:nvSpPr>
      <xdr:spPr bwMode="auto">
        <a:xfrm>
          <a:off x="1058917" y="1480819"/>
          <a:ext cx="322840" cy="234039"/>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6</xdr:col>
      <xdr:colOff>847596</xdr:colOff>
      <xdr:row>7</xdr:row>
      <xdr:rowOff>63609</xdr:rowOff>
    </xdr:from>
    <xdr:to>
      <xdr:col>7</xdr:col>
      <xdr:colOff>265709</xdr:colOff>
      <xdr:row>8</xdr:row>
      <xdr:rowOff>84849</xdr:rowOff>
    </xdr:to>
    <xdr:sp macro="" textlink="'Variable Mgmt'!B213">
      <xdr:nvSpPr>
        <xdr:cNvPr id="79" name="Text Box 267"/>
        <xdr:cNvSpPr txBox="1">
          <a:spLocks noChangeArrowheads="1" noTextEdit="1"/>
        </xdr:cNvSpPr>
      </xdr:nvSpPr>
      <xdr:spPr bwMode="auto">
        <a:xfrm>
          <a:off x="6543546" y="1197084"/>
          <a:ext cx="494438" cy="183165"/>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1100" b="0" i="0" u="none" strike="noStrike" baseline="0">
              <a:solidFill>
                <a:srgbClr val="000000"/>
              </a:solidFill>
              <a:latin typeface="Arial" pitchFamily="34" charset="0"/>
              <a:cs typeface="Arial" pitchFamily="34" charset="0"/>
            </a:rPr>
            <a:pPr algn="l" rtl="0">
              <a:defRPr sz="1000"/>
            </a:pPr>
            <a:t>100µF</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5</xdr:col>
      <xdr:colOff>224042</xdr:colOff>
      <xdr:row>9</xdr:row>
      <xdr:rowOff>105784</xdr:rowOff>
    </xdr:from>
    <xdr:to>
      <xdr:col>5</xdr:col>
      <xdr:colOff>675647</xdr:colOff>
      <xdr:row>11</xdr:row>
      <xdr:rowOff>40383</xdr:rowOff>
    </xdr:to>
    <xdr:sp macro="" textlink="'Variable Mgmt'!B199">
      <xdr:nvSpPr>
        <xdr:cNvPr id="80" name="Text Box 275"/>
        <xdr:cNvSpPr txBox="1">
          <a:spLocks noChangeArrowheads="1" noTextEdit="1"/>
        </xdr:cNvSpPr>
      </xdr:nvSpPr>
      <xdr:spPr bwMode="auto">
        <a:xfrm>
          <a:off x="5015117" y="1563109"/>
          <a:ext cx="451605" cy="258449"/>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1100" b="0" i="0" u="none" strike="noStrike" baseline="0">
              <a:solidFill>
                <a:srgbClr val="000000"/>
              </a:solidFill>
              <a:latin typeface="Arial" pitchFamily="34" charset="0"/>
              <a:cs typeface="Arial" pitchFamily="34" charset="0"/>
            </a:rPr>
            <a:pPr algn="ctr" rtl="0">
              <a:defRPr sz="1000"/>
            </a:pPr>
            <a:t>30µH</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1</xdr:col>
      <xdr:colOff>329828</xdr:colOff>
      <xdr:row>10</xdr:row>
      <xdr:rowOff>96372</xdr:rowOff>
    </xdr:from>
    <xdr:to>
      <xdr:col>2</xdr:col>
      <xdr:colOff>37577</xdr:colOff>
      <xdr:row>11</xdr:row>
      <xdr:rowOff>132518</xdr:rowOff>
    </xdr:to>
    <xdr:sp macro="" textlink="'Variable Mgmt'!B218">
      <xdr:nvSpPr>
        <xdr:cNvPr id="81" name="Text Box 276"/>
        <xdr:cNvSpPr txBox="1">
          <a:spLocks noChangeArrowheads="1" noTextEdit="1"/>
        </xdr:cNvSpPr>
      </xdr:nvSpPr>
      <xdr:spPr bwMode="auto">
        <a:xfrm>
          <a:off x="968003" y="1715622"/>
          <a:ext cx="469749" cy="198071"/>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1100" b="0" i="0" u="none" strike="noStrike" baseline="0">
              <a:solidFill>
                <a:srgbClr val="000000"/>
              </a:solidFill>
              <a:latin typeface="Arial" pitchFamily="34" charset="0"/>
              <a:cs typeface="Arial" pitchFamily="34" charset="0"/>
            </a:rPr>
            <a:pPr algn="ctr" rtl="0">
              <a:defRPr sz="1000"/>
            </a:pPr>
            <a:t>4.7µF</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xdr:col>
      <xdr:colOff>198843</xdr:colOff>
      <xdr:row>21</xdr:row>
      <xdr:rowOff>104015</xdr:rowOff>
    </xdr:from>
    <xdr:to>
      <xdr:col>2</xdr:col>
      <xdr:colOff>642811</xdr:colOff>
      <xdr:row>23</xdr:row>
      <xdr:rowOff>62417</xdr:rowOff>
    </xdr:to>
    <xdr:sp macro="" textlink="'Variable Mgmt'!D245">
      <xdr:nvSpPr>
        <xdr:cNvPr id="82" name="Text Box 281"/>
        <xdr:cNvSpPr txBox="1">
          <a:spLocks noChangeArrowheads="1" noTextEdit="1"/>
        </xdr:cNvSpPr>
      </xdr:nvSpPr>
      <xdr:spPr bwMode="auto">
        <a:xfrm>
          <a:off x="1599018" y="3504440"/>
          <a:ext cx="443968" cy="282252"/>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0</xdr:col>
      <xdr:colOff>344923</xdr:colOff>
      <xdr:row>2</xdr:row>
      <xdr:rowOff>118526</xdr:rowOff>
    </xdr:from>
    <xdr:to>
      <xdr:col>1</xdr:col>
      <xdr:colOff>219275</xdr:colOff>
      <xdr:row>5</xdr:row>
      <xdr:rowOff>91586</xdr:rowOff>
    </xdr:to>
    <xdr:sp macro="" textlink="'Variable Mgmt'!B205">
      <xdr:nvSpPr>
        <xdr:cNvPr id="85" name="Text Box 283"/>
        <xdr:cNvSpPr txBox="1">
          <a:spLocks noChangeArrowheads="1" noTextEdit="1"/>
        </xdr:cNvSpPr>
      </xdr:nvSpPr>
      <xdr:spPr bwMode="auto">
        <a:xfrm>
          <a:off x="344923" y="442376"/>
          <a:ext cx="512527" cy="458835"/>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24V</a:t>
          </a:fld>
          <a:endParaRPr lang="en-US" sz="1400" b="1" i="0" strike="noStrike">
            <a:solidFill>
              <a:srgbClr val="FF0000"/>
            </a:solidFill>
            <a:latin typeface="Arial" pitchFamily="34" charset="0"/>
            <a:cs typeface="Arial" pitchFamily="34" charset="0"/>
          </a:endParaRPr>
        </a:p>
      </xdr:txBody>
    </xdr:sp>
    <xdr:clientData/>
  </xdr:twoCellAnchor>
  <xdr:twoCellAnchor>
    <xdr:from>
      <xdr:col>7</xdr:col>
      <xdr:colOff>269013</xdr:colOff>
      <xdr:row>3</xdr:row>
      <xdr:rowOff>3197</xdr:rowOff>
    </xdr:from>
    <xdr:to>
      <xdr:col>7</xdr:col>
      <xdr:colOff>935407</xdr:colOff>
      <xdr:row>5</xdr:row>
      <xdr:rowOff>25976</xdr:rowOff>
    </xdr:to>
    <xdr:sp macro="" textlink="'Variable Mgmt'!B208">
      <xdr:nvSpPr>
        <xdr:cNvPr id="87" name="Text Box 285"/>
        <xdr:cNvSpPr txBox="1">
          <a:spLocks noChangeArrowheads="1" noTextEdit="1"/>
        </xdr:cNvSpPr>
      </xdr:nvSpPr>
      <xdr:spPr bwMode="auto">
        <a:xfrm>
          <a:off x="7041288" y="48897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5V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7</xdr:col>
      <xdr:colOff>125849</xdr:colOff>
      <xdr:row>4</xdr:row>
      <xdr:rowOff>112611</xdr:rowOff>
    </xdr:from>
    <xdr:to>
      <xdr:col>7</xdr:col>
      <xdr:colOff>678298</xdr:colOff>
      <xdr:row>6</xdr:row>
      <xdr:rowOff>93051</xdr:rowOff>
    </xdr:to>
    <xdr:sp macro="" textlink="'Variable Mgmt'!B263">
      <xdr:nvSpPr>
        <xdr:cNvPr id="88" name="Text Box 286"/>
        <xdr:cNvSpPr txBox="1">
          <a:spLocks noChangeArrowheads="1" noTextEdit="1"/>
        </xdr:cNvSpPr>
      </xdr:nvSpPr>
      <xdr:spPr bwMode="auto">
        <a:xfrm>
          <a:off x="6898124" y="760311"/>
          <a:ext cx="552449"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1A</a:t>
          </a:fld>
          <a:endParaRPr lang="en-US" sz="1350" b="1" i="0" strike="noStrike">
            <a:solidFill>
              <a:srgbClr val="FF0000"/>
            </a:solidFill>
            <a:latin typeface="Arial" pitchFamily="34" charset="0"/>
            <a:cs typeface="Arial" pitchFamily="34" charset="0"/>
          </a:endParaRPr>
        </a:p>
      </xdr:txBody>
    </xdr:sp>
    <xdr:clientData/>
  </xdr:twoCellAnchor>
  <xdr:twoCellAnchor>
    <xdr:from>
      <xdr:col>2</xdr:col>
      <xdr:colOff>217360</xdr:colOff>
      <xdr:row>7</xdr:row>
      <xdr:rowOff>99362</xdr:rowOff>
    </xdr:from>
    <xdr:to>
      <xdr:col>2</xdr:col>
      <xdr:colOff>742058</xdr:colOff>
      <xdr:row>9</xdr:row>
      <xdr:rowOff>29041</xdr:rowOff>
    </xdr:to>
    <xdr:sp macro="" textlink="'Variable Mgmt'!C237">
      <xdr:nvSpPr>
        <xdr:cNvPr id="92" name="Text Box 268"/>
        <xdr:cNvSpPr txBox="1">
          <a:spLocks noChangeArrowheads="1" noTextEdit="1"/>
        </xdr:cNvSpPr>
      </xdr:nvSpPr>
      <xdr:spPr bwMode="auto">
        <a:xfrm>
          <a:off x="1617535" y="1232837"/>
          <a:ext cx="524698" cy="253529"/>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127kΩ</a:t>
          </a:fld>
          <a:endParaRPr lang="el-GR" sz="1000" b="0" i="0" strike="noStrike">
            <a:solidFill>
              <a:srgbClr val="000000"/>
            </a:solidFill>
            <a:latin typeface="Arial" pitchFamily="34" charset="0"/>
            <a:cs typeface="Arial" pitchFamily="34" charset="0"/>
          </a:endParaRPr>
        </a:p>
      </xdr:txBody>
    </xdr:sp>
    <xdr:clientData/>
  </xdr:twoCellAnchor>
  <xdr:twoCellAnchor>
    <xdr:from>
      <xdr:col>2</xdr:col>
      <xdr:colOff>198310</xdr:colOff>
      <xdr:row>13</xdr:row>
      <xdr:rowOff>137646</xdr:rowOff>
    </xdr:from>
    <xdr:to>
      <xdr:col>2</xdr:col>
      <xdr:colOff>723008</xdr:colOff>
      <xdr:row>15</xdr:row>
      <xdr:rowOff>31908</xdr:rowOff>
    </xdr:to>
    <xdr:sp macro="" textlink="'Variable Mgmt'!C238">
      <xdr:nvSpPr>
        <xdr:cNvPr id="93" name="Text Box 268"/>
        <xdr:cNvSpPr txBox="1">
          <a:spLocks noChangeArrowheads="1" noTextEdit="1"/>
        </xdr:cNvSpPr>
      </xdr:nvSpPr>
      <xdr:spPr bwMode="auto">
        <a:xfrm>
          <a:off x="1598485" y="2242671"/>
          <a:ext cx="524698" cy="218112"/>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20kΩ</a:t>
          </a:fld>
          <a:endParaRPr lang="el-GR" sz="1000" b="0" i="0" strike="noStrike">
            <a:solidFill>
              <a:srgbClr val="000000"/>
            </a:solidFill>
            <a:latin typeface="Arial" pitchFamily="34" charset="0"/>
            <a:cs typeface="Arial" pitchFamily="34" charset="0"/>
          </a:endParaRPr>
        </a:p>
      </xdr:txBody>
    </xdr:sp>
    <xdr:clientData/>
  </xdr:twoCellAnchor>
  <xdr:twoCellAnchor>
    <xdr:from>
      <xdr:col>4</xdr:col>
      <xdr:colOff>659751</xdr:colOff>
      <xdr:row>14</xdr:row>
      <xdr:rowOff>38988</xdr:rowOff>
    </xdr:from>
    <xdr:to>
      <xdr:col>5</xdr:col>
      <xdr:colOff>29192</xdr:colOff>
      <xdr:row>15</xdr:row>
      <xdr:rowOff>121560</xdr:rowOff>
    </xdr:to>
    <xdr:sp macro="" textlink="'Variable Mgmt'!C227">
      <xdr:nvSpPr>
        <xdr:cNvPr id="94" name="Text Box 268"/>
        <xdr:cNvSpPr txBox="1">
          <a:spLocks noChangeArrowheads="1" noTextEdit="1"/>
        </xdr:cNvSpPr>
      </xdr:nvSpPr>
      <xdr:spPr bwMode="auto">
        <a:xfrm>
          <a:off x="4298301" y="2305938"/>
          <a:ext cx="521966" cy="244497"/>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1100" b="0" i="0" u="none" strike="noStrike">
              <a:solidFill>
                <a:srgbClr val="000000"/>
              </a:solidFill>
              <a:latin typeface="Arial"/>
              <a:cs typeface="Arial"/>
            </a:rPr>
            <a:pPr algn="l" rtl="0">
              <a:defRPr sz="1000"/>
            </a:pPr>
            <a:t>158kΩ</a:t>
          </a:fld>
          <a:endParaRPr lang="el-GR" sz="1800" b="0" i="0" strike="noStrike">
            <a:solidFill>
              <a:srgbClr val="000000"/>
            </a:solidFill>
            <a:latin typeface="Arial" pitchFamily="34" charset="0"/>
            <a:cs typeface="Arial" pitchFamily="34" charset="0"/>
          </a:endParaRPr>
        </a:p>
      </xdr:txBody>
    </xdr:sp>
    <xdr:clientData/>
  </xdr:twoCellAnchor>
  <xdr:twoCellAnchor>
    <xdr:from>
      <xdr:col>5</xdr:col>
      <xdr:colOff>157931</xdr:colOff>
      <xdr:row>20</xdr:row>
      <xdr:rowOff>88956</xdr:rowOff>
    </xdr:from>
    <xdr:to>
      <xdr:col>5</xdr:col>
      <xdr:colOff>672415</xdr:colOff>
      <xdr:row>21</xdr:row>
      <xdr:rowOff>128452</xdr:rowOff>
    </xdr:to>
    <xdr:sp macro="" textlink="'Variable Mgmt'!C241">
      <xdr:nvSpPr>
        <xdr:cNvPr id="95" name="Text Box 265"/>
        <xdr:cNvSpPr txBox="1">
          <a:spLocks noChangeArrowheads="1" noTextEdit="1"/>
        </xdr:cNvSpPr>
      </xdr:nvSpPr>
      <xdr:spPr bwMode="auto">
        <a:xfrm>
          <a:off x="4949006" y="3327456"/>
          <a:ext cx="514484" cy="20142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1100" b="0" i="0" u="none" strike="noStrike" baseline="0">
              <a:solidFill>
                <a:srgbClr val="000000"/>
              </a:solidFill>
              <a:latin typeface="Arial"/>
              <a:cs typeface="Arial"/>
            </a:rPr>
            <a:pPr algn="l" rtl="0">
              <a:defRPr sz="1000"/>
            </a:pPr>
            <a:t>12.1kΩ</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0</xdr:col>
      <xdr:colOff>95250</xdr:colOff>
      <xdr:row>5</xdr:row>
      <xdr:rowOff>6666</xdr:rowOff>
    </xdr:from>
    <xdr:to>
      <xdr:col>1</xdr:col>
      <xdr:colOff>740109</xdr:colOff>
      <xdr:row>6</xdr:row>
      <xdr:rowOff>133349</xdr:rowOff>
    </xdr:to>
    <xdr:sp macro="" textlink="'Variable Mgmt'!B206">
      <xdr:nvSpPr>
        <xdr:cNvPr id="96" name="Text Box 283"/>
        <xdr:cNvSpPr txBox="1">
          <a:spLocks noChangeArrowheads="1" noTextEdit="1"/>
        </xdr:cNvSpPr>
      </xdr:nvSpPr>
      <xdr:spPr bwMode="auto">
        <a:xfrm>
          <a:off x="95250" y="816291"/>
          <a:ext cx="1283034" cy="288608"/>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1200" b="1" i="0" u="none" strike="noStrike">
              <a:solidFill>
                <a:srgbClr val="000000"/>
              </a:solidFill>
              <a:latin typeface="Arial"/>
              <a:cs typeface="Arial"/>
            </a:rPr>
            <a:pPr algn="ctr" rtl="0">
              <a:defRPr sz="1000"/>
            </a:pPr>
            <a:t>12V...48V</a:t>
          </a:fld>
          <a:endParaRPr lang="en-US" sz="1200" b="1" i="0" strike="noStrike">
            <a:solidFill>
              <a:srgbClr val="000000"/>
            </a:solidFill>
            <a:latin typeface="Arial" pitchFamily="34" charset="0"/>
            <a:cs typeface="Arial" pitchFamily="34" charset="0"/>
          </a:endParaRPr>
        </a:p>
      </xdr:txBody>
    </xdr:sp>
    <xdr:clientData/>
  </xdr:twoCellAnchor>
  <xdr:twoCellAnchor>
    <xdr:from>
      <xdr:col>4</xdr:col>
      <xdr:colOff>679229</xdr:colOff>
      <xdr:row>18</xdr:row>
      <xdr:rowOff>149860</xdr:rowOff>
    </xdr:from>
    <xdr:to>
      <xdr:col>4</xdr:col>
      <xdr:colOff>1010101</xdr:colOff>
      <xdr:row>20</xdr:row>
      <xdr:rowOff>77900</xdr:rowOff>
    </xdr:to>
    <xdr:sp macro="" textlink="'Variable Mgmt'!C233">
      <xdr:nvSpPr>
        <xdr:cNvPr id="97" name="Text Box 225"/>
        <xdr:cNvSpPr txBox="1">
          <a:spLocks noChangeArrowheads="1"/>
        </xdr:cNvSpPr>
      </xdr:nvSpPr>
      <xdr:spPr bwMode="auto">
        <a:xfrm>
          <a:off x="4317779" y="3064510"/>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Rtc</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4</xdr:col>
      <xdr:colOff>631623</xdr:colOff>
      <xdr:row>20</xdr:row>
      <xdr:rowOff>71205</xdr:rowOff>
    </xdr:from>
    <xdr:to>
      <xdr:col>4</xdr:col>
      <xdr:colOff>1147003</xdr:colOff>
      <xdr:row>21</xdr:row>
      <xdr:rowOff>142012</xdr:rowOff>
    </xdr:to>
    <xdr:sp macro="" textlink="'Variable Mgmt'!B233">
      <xdr:nvSpPr>
        <xdr:cNvPr id="98" name="Text Box 268"/>
        <xdr:cNvSpPr txBox="1">
          <a:spLocks noChangeArrowheads="1" noTextEdit="1"/>
        </xdr:cNvSpPr>
      </xdr:nvSpPr>
      <xdr:spPr bwMode="auto">
        <a:xfrm>
          <a:off x="4270173" y="3309705"/>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158kΩ</a:t>
          </a:fld>
          <a:endParaRPr lang="el-GR" sz="1100" b="0" i="0" strike="noStrike">
            <a:solidFill>
              <a:srgbClr val="000000"/>
            </a:solidFill>
            <a:latin typeface="Arial" pitchFamily="34" charset="0"/>
            <a:cs typeface="Arial" pitchFamily="34" charset="0"/>
          </a:endParaRPr>
        </a:p>
      </xdr:txBody>
    </xdr:sp>
    <xdr:clientData/>
  </xdr:twoCellAnchor>
  <xdr:twoCellAnchor>
    <xdr:from>
      <xdr:col>2</xdr:col>
      <xdr:colOff>237557</xdr:colOff>
      <xdr:row>6</xdr:row>
      <xdr:rowOff>57806</xdr:rowOff>
    </xdr:from>
    <xdr:to>
      <xdr:col>2</xdr:col>
      <xdr:colOff>639607</xdr:colOff>
      <xdr:row>7</xdr:row>
      <xdr:rowOff>125922</xdr:rowOff>
    </xdr:to>
    <xdr:sp macro="" textlink="'Variable Mgmt'!C236">
      <xdr:nvSpPr>
        <xdr:cNvPr id="99" name="Text Box 264"/>
        <xdr:cNvSpPr txBox="1">
          <a:spLocks noChangeArrowheads="1" noTextEdit="1"/>
        </xdr:cNvSpPr>
      </xdr:nvSpPr>
      <xdr:spPr bwMode="auto">
        <a:xfrm>
          <a:off x="1637732" y="1029356"/>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237557</xdr:colOff>
      <xdr:row>12</xdr:row>
      <xdr:rowOff>115234</xdr:rowOff>
    </xdr:from>
    <xdr:to>
      <xdr:col>2</xdr:col>
      <xdr:colOff>661587</xdr:colOff>
      <xdr:row>13</xdr:row>
      <xdr:rowOff>135750</xdr:rowOff>
    </xdr:to>
    <xdr:sp macro="" textlink="'Variable Mgmt'!D236">
      <xdr:nvSpPr>
        <xdr:cNvPr id="100" name="Text Box 264"/>
        <xdr:cNvSpPr txBox="1">
          <a:spLocks noChangeArrowheads="1" noTextEdit="1"/>
        </xdr:cNvSpPr>
      </xdr:nvSpPr>
      <xdr:spPr bwMode="auto">
        <a:xfrm>
          <a:off x="1637732" y="2058334"/>
          <a:ext cx="424030" cy="182441"/>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216427</xdr:colOff>
      <xdr:row>20</xdr:row>
      <xdr:rowOff>331</xdr:rowOff>
    </xdr:from>
    <xdr:to>
      <xdr:col>2</xdr:col>
      <xdr:colOff>660395</xdr:colOff>
      <xdr:row>22</xdr:row>
      <xdr:rowOff>12593</xdr:rowOff>
    </xdr:to>
    <xdr:sp macro="" textlink="'Variable Mgmt'!C246">
      <xdr:nvSpPr>
        <xdr:cNvPr id="101" name="Text Box 281"/>
        <xdr:cNvSpPr txBox="1">
          <a:spLocks noChangeArrowheads="1" noTextEdit="1"/>
        </xdr:cNvSpPr>
      </xdr:nvSpPr>
      <xdr:spPr bwMode="auto">
        <a:xfrm>
          <a:off x="1616602" y="3238831"/>
          <a:ext cx="443968" cy="336112"/>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4</xdr:col>
      <xdr:colOff>682414</xdr:colOff>
      <xdr:row>12</xdr:row>
      <xdr:rowOff>161265</xdr:rowOff>
    </xdr:from>
    <xdr:to>
      <xdr:col>4</xdr:col>
      <xdr:colOff>1005254</xdr:colOff>
      <xdr:row>14</xdr:row>
      <xdr:rowOff>69989</xdr:rowOff>
    </xdr:to>
    <xdr:sp macro="" textlink="">
      <xdr:nvSpPr>
        <xdr:cNvPr id="103" name="Text Box 244"/>
        <xdr:cNvSpPr txBox="1">
          <a:spLocks noChangeArrowheads="1"/>
        </xdr:cNvSpPr>
      </xdr:nvSpPr>
      <xdr:spPr bwMode="auto">
        <a:xfrm>
          <a:off x="4320964" y="2104365"/>
          <a:ext cx="322840" cy="23257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5</xdr:col>
      <xdr:colOff>184207</xdr:colOff>
      <xdr:row>19</xdr:row>
      <xdr:rowOff>9801</xdr:rowOff>
    </xdr:from>
    <xdr:to>
      <xdr:col>5</xdr:col>
      <xdr:colOff>571224</xdr:colOff>
      <xdr:row>20</xdr:row>
      <xdr:rowOff>81258</xdr:rowOff>
    </xdr:to>
    <xdr:sp macro="" textlink="">
      <xdr:nvSpPr>
        <xdr:cNvPr id="104" name="Text Box 244"/>
        <xdr:cNvSpPr txBox="1">
          <a:spLocks noChangeArrowheads="1"/>
        </xdr:cNvSpPr>
      </xdr:nvSpPr>
      <xdr:spPr bwMode="auto">
        <a:xfrm>
          <a:off x="4975282" y="3086376"/>
          <a:ext cx="387017" cy="233382"/>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4</xdr:col>
      <xdr:colOff>216702</xdr:colOff>
      <xdr:row>5</xdr:row>
      <xdr:rowOff>7931</xdr:rowOff>
    </xdr:from>
    <xdr:to>
      <xdr:col>4</xdr:col>
      <xdr:colOff>680586</xdr:colOff>
      <xdr:row>6</xdr:row>
      <xdr:rowOff>105017</xdr:rowOff>
    </xdr:to>
    <xdr:sp macro="" textlink="">
      <xdr:nvSpPr>
        <xdr:cNvPr id="105" name="Text Box 235"/>
        <xdr:cNvSpPr txBox="1">
          <a:spLocks noChangeArrowheads="1"/>
        </xdr:cNvSpPr>
      </xdr:nvSpPr>
      <xdr:spPr bwMode="auto">
        <a:xfrm>
          <a:off x="3855252" y="817556"/>
          <a:ext cx="463884" cy="259011"/>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4</xdr:col>
      <xdr:colOff>501318</xdr:colOff>
      <xdr:row>9</xdr:row>
      <xdr:rowOff>20387</xdr:rowOff>
    </xdr:from>
    <xdr:to>
      <xdr:col>4</xdr:col>
      <xdr:colOff>770618</xdr:colOff>
      <xdr:row>10</xdr:row>
      <xdr:rowOff>119671</xdr:rowOff>
    </xdr:to>
    <xdr:sp macro="" textlink="">
      <xdr:nvSpPr>
        <xdr:cNvPr id="126" name="Text Box 235"/>
        <xdr:cNvSpPr txBox="1">
          <a:spLocks noChangeArrowheads="1"/>
        </xdr:cNvSpPr>
      </xdr:nvSpPr>
      <xdr:spPr bwMode="auto">
        <a:xfrm>
          <a:off x="4139868" y="1477712"/>
          <a:ext cx="269300" cy="261209"/>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xdr:twoCellAnchor>
    <xdr:from>
      <xdr:col>5</xdr:col>
      <xdr:colOff>142399</xdr:colOff>
      <xdr:row>8</xdr:row>
      <xdr:rowOff>104775</xdr:rowOff>
    </xdr:from>
    <xdr:to>
      <xdr:col>5</xdr:col>
      <xdr:colOff>790575</xdr:colOff>
      <xdr:row>10</xdr:row>
      <xdr:rowOff>0</xdr:rowOff>
    </xdr:to>
    <xdr:sp macro="" textlink="'Variable Mgmt'!B201">
      <xdr:nvSpPr>
        <xdr:cNvPr id="127" name="Text Box 265"/>
        <xdr:cNvSpPr txBox="1">
          <a:spLocks noChangeArrowheads="1" noTextEdit="1"/>
        </xdr:cNvSpPr>
      </xdr:nvSpPr>
      <xdr:spPr bwMode="auto">
        <a:xfrm>
          <a:off x="4933474" y="1400175"/>
          <a:ext cx="648176" cy="219075"/>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3 : 1</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7</xdr:col>
      <xdr:colOff>288063</xdr:colOff>
      <xdr:row>11</xdr:row>
      <xdr:rowOff>136547</xdr:rowOff>
    </xdr:from>
    <xdr:to>
      <xdr:col>7</xdr:col>
      <xdr:colOff>954457</xdr:colOff>
      <xdr:row>13</xdr:row>
      <xdr:rowOff>159326</xdr:rowOff>
    </xdr:to>
    <xdr:sp macro="" textlink="'Variable Mgmt'!B209">
      <xdr:nvSpPr>
        <xdr:cNvPr id="128" name="Text Box 285"/>
        <xdr:cNvSpPr txBox="1">
          <a:spLocks noChangeArrowheads="1" noTextEdit="1"/>
        </xdr:cNvSpPr>
      </xdr:nvSpPr>
      <xdr:spPr bwMode="auto">
        <a:xfrm>
          <a:off x="7060338" y="19177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7</xdr:col>
      <xdr:colOff>133350</xdr:colOff>
      <xdr:row>13</xdr:row>
      <xdr:rowOff>74511</xdr:rowOff>
    </xdr:from>
    <xdr:to>
      <xdr:col>7</xdr:col>
      <xdr:colOff>733425</xdr:colOff>
      <xdr:row>15</xdr:row>
      <xdr:rowOff>54951</xdr:rowOff>
    </xdr:to>
    <xdr:sp macro="" textlink="'Variable Mgmt'!B264">
      <xdr:nvSpPr>
        <xdr:cNvPr id="129" name="Text Box 286"/>
        <xdr:cNvSpPr txBox="1">
          <a:spLocks noChangeArrowheads="1" noTextEdit="1"/>
        </xdr:cNvSpPr>
      </xdr:nvSpPr>
      <xdr:spPr bwMode="auto">
        <a:xfrm>
          <a:off x="6905625" y="2179536"/>
          <a:ext cx="600075"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7</xdr:col>
      <xdr:colOff>278538</xdr:colOff>
      <xdr:row>14</xdr:row>
      <xdr:rowOff>146072</xdr:rowOff>
    </xdr:from>
    <xdr:to>
      <xdr:col>7</xdr:col>
      <xdr:colOff>944932</xdr:colOff>
      <xdr:row>17</xdr:row>
      <xdr:rowOff>6926</xdr:rowOff>
    </xdr:to>
    <xdr:sp macro="" textlink="'Variable Mgmt'!B210">
      <xdr:nvSpPr>
        <xdr:cNvPr id="130" name="Text Box 285"/>
        <xdr:cNvSpPr txBox="1">
          <a:spLocks noChangeArrowheads="1" noTextEdit="1"/>
        </xdr:cNvSpPr>
      </xdr:nvSpPr>
      <xdr:spPr bwMode="auto">
        <a:xfrm>
          <a:off x="7050813" y="24130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7</xdr:col>
      <xdr:colOff>105866</xdr:colOff>
      <xdr:row>16</xdr:row>
      <xdr:rowOff>84036</xdr:rowOff>
    </xdr:from>
    <xdr:to>
      <xdr:col>7</xdr:col>
      <xdr:colOff>859940</xdr:colOff>
      <xdr:row>18</xdr:row>
      <xdr:rowOff>64476</xdr:rowOff>
    </xdr:to>
    <xdr:sp macro="" textlink="'Variable Mgmt'!B265">
      <xdr:nvSpPr>
        <xdr:cNvPr id="131" name="Text Box 286"/>
        <xdr:cNvSpPr txBox="1">
          <a:spLocks noChangeArrowheads="1" noTextEdit="1"/>
        </xdr:cNvSpPr>
      </xdr:nvSpPr>
      <xdr:spPr bwMode="auto">
        <a:xfrm>
          <a:off x="6878141" y="2674836"/>
          <a:ext cx="754074"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6</xdr:col>
      <xdr:colOff>847596</xdr:colOff>
      <xdr:row>13</xdr:row>
      <xdr:rowOff>111234</xdr:rowOff>
    </xdr:from>
    <xdr:to>
      <xdr:col>7</xdr:col>
      <xdr:colOff>265709</xdr:colOff>
      <xdr:row>14</xdr:row>
      <xdr:rowOff>132474</xdr:rowOff>
    </xdr:to>
    <xdr:sp macro="" textlink="'Variable Mgmt'!D213">
      <xdr:nvSpPr>
        <xdr:cNvPr id="132" name="Text Box 267"/>
        <xdr:cNvSpPr txBox="1">
          <a:spLocks noChangeArrowheads="1" noTextEdit="1"/>
        </xdr:cNvSpPr>
      </xdr:nvSpPr>
      <xdr:spPr bwMode="auto">
        <a:xfrm>
          <a:off x="6543546" y="2216259"/>
          <a:ext cx="494438" cy="183165"/>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1100" b="0" i="0" u="none" strike="noStrike" baseline="0">
              <a:solidFill>
                <a:srgbClr val="000000"/>
              </a:solidFill>
              <a:latin typeface="Arial"/>
              <a:cs typeface="Arial"/>
            </a:rPr>
            <a:pPr algn="l" rtl="0">
              <a:defRPr sz="1000"/>
            </a:pPr>
            <a:t> </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6</xdr:col>
      <xdr:colOff>847596</xdr:colOff>
      <xdr:row>16</xdr:row>
      <xdr:rowOff>35034</xdr:rowOff>
    </xdr:from>
    <xdr:to>
      <xdr:col>7</xdr:col>
      <xdr:colOff>265709</xdr:colOff>
      <xdr:row>17</xdr:row>
      <xdr:rowOff>56274</xdr:rowOff>
    </xdr:to>
    <xdr:sp macro="" textlink="'Variable Mgmt'!C213">
      <xdr:nvSpPr>
        <xdr:cNvPr id="133" name="Text Box 267"/>
        <xdr:cNvSpPr txBox="1">
          <a:spLocks noChangeArrowheads="1" noTextEdit="1"/>
        </xdr:cNvSpPr>
      </xdr:nvSpPr>
      <xdr:spPr bwMode="auto">
        <a:xfrm>
          <a:off x="6543546" y="2625834"/>
          <a:ext cx="494438" cy="183165"/>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1100" b="0" i="0" u="none" strike="noStrike" baseline="0">
              <a:solidFill>
                <a:srgbClr val="000000"/>
              </a:solidFill>
              <a:latin typeface="Arial"/>
              <a:cs typeface="Arial"/>
            </a:rPr>
            <a:pPr algn="l" rtl="0">
              <a:defRPr sz="1000"/>
            </a:pPr>
            <a:t> </a:t>
          </a:fld>
          <a:endParaRPr lang="en-US" sz="1400" b="0" i="0" u="none" strike="noStrike" baseline="0">
            <a:solidFill>
              <a:srgbClr val="000000"/>
            </a:solidFill>
            <a:latin typeface="Arial" pitchFamily="34" charset="0"/>
            <a:cs typeface="Arial" pitchFamily="34" charset="0"/>
          </a:endParaRPr>
        </a:p>
      </xdr:txBody>
    </xdr:sp>
    <xdr:clientData/>
  </xdr:twoCellAnchor>
  <xdr:twoCellAnchor>
    <xdr:from>
      <xdr:col>5</xdr:col>
      <xdr:colOff>262430</xdr:colOff>
      <xdr:row>2</xdr:row>
      <xdr:rowOff>13969</xdr:rowOff>
    </xdr:from>
    <xdr:to>
      <xdr:col>5</xdr:col>
      <xdr:colOff>585270</xdr:colOff>
      <xdr:row>3</xdr:row>
      <xdr:rowOff>86083</xdr:rowOff>
    </xdr:to>
    <xdr:sp macro="" textlink="">
      <xdr:nvSpPr>
        <xdr:cNvPr id="134" name="Text Box 244"/>
        <xdr:cNvSpPr txBox="1">
          <a:spLocks noChangeArrowheads="1"/>
        </xdr:cNvSpPr>
      </xdr:nvSpPr>
      <xdr:spPr bwMode="auto">
        <a:xfrm>
          <a:off x="5053505" y="337819"/>
          <a:ext cx="322840" cy="234039"/>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9525</xdr:rowOff>
        </xdr:from>
        <xdr:to>
          <xdr:col>6</xdr:col>
          <xdr:colOff>866775</xdr:colOff>
          <xdr:row>33</xdr:row>
          <xdr:rowOff>0</xdr:rowOff>
        </xdr:to>
        <xdr:sp macro="" textlink="">
          <xdr:nvSpPr>
            <xdr:cNvPr id="706019" name="Drop Down 1507" hidden="1">
              <a:extLst>
                <a:ext uri="{63B3BB69-23CF-44E3-9099-C40C66FF867C}">
                  <a14:compatExt spid="_x0000_s706019"/>
                </a:ext>
              </a:extLst>
            </xdr:cNvPr>
            <xdr:cNvSpPr/>
          </xdr:nvSpPr>
          <xdr:spPr>
            <a:xfrm>
              <a:off x="0" y="0"/>
              <a:ext cx="0" cy="0"/>
            </a:xfrm>
            <a:prstGeom prst="rect">
              <a:avLst/>
            </a:prstGeom>
          </xdr:spPr>
        </xdr:sp>
        <xdr:clientData/>
      </xdr:twoCellAnchor>
    </mc:Choice>
    <mc:Fallback/>
  </mc:AlternateContent>
  <xdr:twoCellAnchor>
    <xdr:from>
      <xdr:col>3</xdr:col>
      <xdr:colOff>382642</xdr:colOff>
      <xdr:row>7</xdr:row>
      <xdr:rowOff>137794</xdr:rowOff>
    </xdr:from>
    <xdr:to>
      <xdr:col>3</xdr:col>
      <xdr:colOff>705482</xdr:colOff>
      <xdr:row>9</xdr:row>
      <xdr:rowOff>47983</xdr:rowOff>
    </xdr:to>
    <xdr:sp macro="" textlink="">
      <xdr:nvSpPr>
        <xdr:cNvPr id="47" name="Text Box 244"/>
        <xdr:cNvSpPr txBox="1">
          <a:spLocks noChangeArrowheads="1"/>
        </xdr:cNvSpPr>
      </xdr:nvSpPr>
      <xdr:spPr bwMode="auto">
        <a:xfrm>
          <a:off x="2678167" y="1271269"/>
          <a:ext cx="322840" cy="234039"/>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38</xdr:row>
          <xdr:rowOff>9525</xdr:rowOff>
        </xdr:from>
        <xdr:to>
          <xdr:col>6</xdr:col>
          <xdr:colOff>876300</xdr:colOff>
          <xdr:row>39</xdr:row>
          <xdr:rowOff>0</xdr:rowOff>
        </xdr:to>
        <xdr:sp macro="" textlink="">
          <xdr:nvSpPr>
            <xdr:cNvPr id="706028" name="Drop Down 1516" hidden="1">
              <a:extLst>
                <a:ext uri="{63B3BB69-23CF-44E3-9099-C40C66FF867C}">
                  <a14:compatExt spid="_x0000_s706028"/>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542925</xdr:colOff>
      <xdr:row>7</xdr:row>
      <xdr:rowOff>38100</xdr:rowOff>
    </xdr:from>
    <xdr:to>
      <xdr:col>10</xdr:col>
      <xdr:colOff>419100</xdr:colOff>
      <xdr:row>62</xdr:row>
      <xdr:rowOff>107170</xdr:rowOff>
    </xdr:to>
    <xdr:pic>
      <xdr:nvPicPr>
        <xdr:cNvPr id="8"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1704975"/>
          <a:ext cx="5972175" cy="8974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533400</xdr:colOff>
      <xdr:row>7</xdr:row>
      <xdr:rowOff>38100</xdr:rowOff>
    </xdr:from>
    <xdr:to>
      <xdr:col>21</xdr:col>
      <xdr:colOff>552450</xdr:colOff>
      <xdr:row>62</xdr:row>
      <xdr:rowOff>145539</xdr:rowOff>
    </xdr:to>
    <xdr:pic>
      <xdr:nvPicPr>
        <xdr:cNvPr id="10" name="Pictur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600" y="1704975"/>
          <a:ext cx="6124575" cy="9013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447675</xdr:colOff>
          <xdr:row>6</xdr:row>
          <xdr:rowOff>19050</xdr:rowOff>
        </xdr:from>
        <xdr:to>
          <xdr:col>10</xdr:col>
          <xdr:colOff>666750</xdr:colOff>
          <xdr:row>7</xdr:row>
          <xdr:rowOff>95250</xdr:rowOff>
        </xdr:to>
        <xdr:sp macro="" textlink="">
          <xdr:nvSpPr>
            <xdr:cNvPr id="721921" name="Drop Down 1" hidden="1">
              <a:extLst>
                <a:ext uri="{63B3BB69-23CF-44E3-9099-C40C66FF867C}">
                  <a14:compatExt spid="_x0000_s721921"/>
                </a:ext>
              </a:extLst>
            </xdr:cNvPr>
            <xdr:cNvSpPr/>
          </xdr:nvSpPr>
          <xdr:spPr>
            <a:xfrm>
              <a:off x="0" y="0"/>
              <a:ext cx="0" cy="0"/>
            </a:xfrm>
            <a:prstGeom prst="rect">
              <a:avLst/>
            </a:prstGeom>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200025</xdr:colOff>
      <xdr:row>40</xdr:row>
      <xdr:rowOff>114300</xdr:rowOff>
    </xdr:from>
    <xdr:to>
      <xdr:col>46</xdr:col>
      <xdr:colOff>333375</xdr:colOff>
      <xdr:row>71</xdr:row>
      <xdr:rowOff>116032</xdr:rowOff>
    </xdr:to>
    <xdr:graphicFrame macro="">
      <xdr:nvGraphicFramePr>
        <xdr:cNvPr id="6"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23</xdr:col>
      <xdr:colOff>0</xdr:colOff>
      <xdr:row>101</xdr:row>
      <xdr:rowOff>123825</xdr:rowOff>
    </xdr:to>
    <xdr:graphicFrame macro="">
      <xdr:nvGraphicFramePr>
        <xdr:cNvPr id="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329046</xdr:colOff>
      <xdr:row>72</xdr:row>
      <xdr:rowOff>138546</xdr:rowOff>
    </xdr:from>
    <xdr:to>
      <xdr:col>27</xdr:col>
      <xdr:colOff>33771</xdr:colOff>
      <xdr:row>103</xdr:row>
      <xdr:rowOff>140278</xdr:rowOff>
    </xdr:to>
    <xdr:graphicFrame macro="">
      <xdr:nvGraphicFramePr>
        <xdr:cNvPr id="6"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180975</xdr:colOff>
          <xdr:row>111</xdr:row>
          <xdr:rowOff>142875</xdr:rowOff>
        </xdr:from>
        <xdr:to>
          <xdr:col>36</xdr:col>
          <xdr:colOff>9525</xdr:colOff>
          <xdr:row>125</xdr:row>
          <xdr:rowOff>142875</xdr:rowOff>
        </xdr:to>
        <xdr:sp macro="" textlink="">
          <xdr:nvSpPr>
            <xdr:cNvPr id="683009" name="Object 1" hidden="1">
              <a:extLst>
                <a:ext uri="{63B3BB69-23CF-44E3-9099-C40C66FF867C}">
                  <a14:compatExt spid="_x0000_s683009"/>
                </a:ext>
              </a:extLst>
            </xdr:cNvPr>
            <xdr:cNvSpPr/>
          </xdr:nvSpPr>
          <xdr:spPr>
            <a:xfrm>
              <a:off x="0" y="0"/>
              <a:ext cx="0" cy="0"/>
            </a:xfrm>
            <a:prstGeom prst="rect">
              <a:avLst/>
            </a:prstGeom>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56">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78%</a:t>
          </a:fld>
          <a:endParaRPr lang="en-US" sz="1100" b="1" i="0" u="none" strike="noStrike" baseline="0">
            <a:solidFill>
              <a:srgbClr val="000000"/>
            </a:solidFill>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omments" Target="../comments1.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18" Type="http://schemas.openxmlformats.org/officeDocument/2006/relationships/ctrlProp" Target="../ctrlProps/ctrlProp21.xml"/><Relationship Id="rId3" Type="http://schemas.openxmlformats.org/officeDocument/2006/relationships/vmlDrawing" Target="../drawings/vmlDrawing3.vml"/><Relationship Id="rId7" Type="http://schemas.openxmlformats.org/officeDocument/2006/relationships/ctrlProp" Target="../ctrlProps/ctrlProp10.xml"/><Relationship Id="rId12" Type="http://schemas.openxmlformats.org/officeDocument/2006/relationships/ctrlProp" Target="../ctrlProps/ctrlProp15.xml"/><Relationship Id="rId17" Type="http://schemas.openxmlformats.org/officeDocument/2006/relationships/ctrlProp" Target="../ctrlProps/ctrlProp20.xml"/><Relationship Id="rId2" Type="http://schemas.openxmlformats.org/officeDocument/2006/relationships/drawing" Target="../drawings/drawing2.xml"/><Relationship Id="rId16" Type="http://schemas.openxmlformats.org/officeDocument/2006/relationships/ctrlProp" Target="../ctrlProps/ctrlProp19.xml"/><Relationship Id="rId1" Type="http://schemas.openxmlformats.org/officeDocument/2006/relationships/printerSettings" Target="../printerSettings/printerSettings2.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openxmlformats.org/officeDocument/2006/relationships/comments" Target="../comments2.xml"/><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I53"/>
  <sheetViews>
    <sheetView tabSelected="1" zoomScaleNormal="100" zoomScaleSheetLayoutView="70" workbookViewId="0">
      <selection activeCell="E6" sqref="E6"/>
    </sheetView>
  </sheetViews>
  <sheetFormatPr defaultColWidth="9.140625" defaultRowHeight="12.75" x14ac:dyDescent="0.2"/>
  <cols>
    <col min="1" max="1" width="8.28515625" style="109" customWidth="1"/>
    <col min="2" max="2" width="8.28515625" style="48" customWidth="1"/>
    <col min="3" max="3" width="13.5703125" style="48" customWidth="1"/>
    <col min="4" max="4" width="9.85546875" style="48" customWidth="1"/>
    <col min="5" max="5" width="9.140625" style="48" customWidth="1"/>
    <col min="6" max="6" width="8.7109375" style="48" customWidth="1"/>
    <col min="7" max="7" width="2.7109375" style="48" customWidth="1"/>
    <col min="8" max="9" width="8.28515625" style="48" customWidth="1"/>
    <col min="10" max="10" width="13.7109375" style="48" customWidth="1"/>
    <col min="11" max="11" width="10" style="48" customWidth="1"/>
    <col min="12" max="12" width="9.42578125" style="48" customWidth="1"/>
    <col min="13" max="13" width="8.7109375" style="48" customWidth="1"/>
    <col min="14" max="15" width="9.140625" style="48"/>
    <col min="16" max="18" width="10.140625" style="48" customWidth="1"/>
    <col min="19" max="19" width="10" style="48" bestFit="1" customWidth="1"/>
    <col min="20" max="25" width="9.140625" style="48"/>
    <col min="26" max="26" width="29" style="48" customWidth="1"/>
    <col min="27" max="27" width="3.140625" style="48" customWidth="1"/>
    <col min="28" max="16384" width="9.140625" style="48"/>
  </cols>
  <sheetData>
    <row r="1" spans="1:27" ht="47.25" customHeight="1" x14ac:dyDescent="0.2">
      <c r="A1" s="533" t="s">
        <v>379</v>
      </c>
      <c r="B1" s="531"/>
      <c r="C1" s="531"/>
      <c r="D1" s="531"/>
      <c r="E1" s="531"/>
      <c r="F1" s="531"/>
      <c r="G1" s="531"/>
      <c r="H1" s="531"/>
      <c r="I1" s="531"/>
      <c r="J1" s="531"/>
      <c r="K1" s="531"/>
      <c r="L1" s="531"/>
      <c r="M1" s="531"/>
      <c r="N1" s="531"/>
      <c r="O1" s="531"/>
      <c r="P1" s="531"/>
      <c r="Q1" s="531"/>
      <c r="R1" s="532"/>
      <c r="S1" s="532"/>
      <c r="T1" s="532"/>
      <c r="U1" s="532"/>
      <c r="V1" s="424"/>
      <c r="W1" s="424"/>
      <c r="X1" s="424"/>
      <c r="Y1" s="424"/>
      <c r="Z1" s="424"/>
      <c r="AA1" s="424"/>
    </row>
    <row r="2" spans="1:27" ht="14.1" customHeight="1" x14ac:dyDescent="0.45">
      <c r="A2" s="405"/>
      <c r="B2" s="406"/>
      <c r="C2" s="406"/>
      <c r="D2" s="406"/>
      <c r="E2" s="406"/>
      <c r="F2" s="406"/>
      <c r="G2" s="406"/>
      <c r="H2" s="406"/>
      <c r="I2" s="406"/>
      <c r="J2" s="406"/>
      <c r="K2" s="406"/>
      <c r="L2" s="406"/>
      <c r="M2" s="406"/>
      <c r="N2" s="406"/>
      <c r="O2" s="419"/>
      <c r="P2" s="406"/>
      <c r="Q2" s="406"/>
      <c r="R2" s="414"/>
      <c r="S2" s="512"/>
      <c r="T2" s="512"/>
      <c r="U2" s="512"/>
      <c r="V2" s="512"/>
      <c r="W2" s="512"/>
      <c r="X2" s="512"/>
      <c r="Y2" s="512"/>
      <c r="Z2" s="512"/>
      <c r="AA2" s="512"/>
    </row>
    <row r="3" spans="1:27" ht="15.95" customHeight="1" x14ac:dyDescent="0.45">
      <c r="A3" s="407" t="s">
        <v>105</v>
      </c>
      <c r="B3" s="408"/>
      <c r="C3" s="420" t="s">
        <v>106</v>
      </c>
      <c r="D3" s="409"/>
      <c r="E3" s="85"/>
      <c r="F3" s="411" t="s">
        <v>59</v>
      </c>
      <c r="G3" s="410"/>
      <c r="H3" s="406"/>
      <c r="I3" s="406"/>
      <c r="J3" s="410"/>
      <c r="K3" s="412"/>
      <c r="L3" s="413"/>
      <c r="M3" s="414"/>
      <c r="N3" s="414"/>
      <c r="O3" s="512"/>
      <c r="P3" s="2"/>
      <c r="Q3" s="414" t="s">
        <v>77</v>
      </c>
      <c r="R3" s="414"/>
      <c r="S3" s="512"/>
      <c r="T3" s="512"/>
      <c r="U3" s="534" t="s">
        <v>319</v>
      </c>
      <c r="V3" s="512"/>
      <c r="W3" s="512"/>
      <c r="X3" s="512"/>
      <c r="Y3" s="512"/>
      <c r="Z3" s="512"/>
      <c r="AA3" s="512"/>
    </row>
    <row r="4" spans="1:27" ht="14.1" customHeight="1" thickBot="1" x14ac:dyDescent="0.35">
      <c r="A4" s="415"/>
      <c r="B4" s="416"/>
      <c r="C4" s="417"/>
      <c r="D4" s="417"/>
      <c r="E4" s="417"/>
      <c r="F4" s="417"/>
      <c r="G4" s="417"/>
      <c r="H4" s="417"/>
      <c r="I4" s="417"/>
      <c r="J4" s="417"/>
      <c r="K4" s="417"/>
      <c r="L4" s="417"/>
      <c r="M4" s="418"/>
      <c r="N4" s="418"/>
      <c r="O4" s="418"/>
      <c r="P4" s="418"/>
      <c r="Q4" s="418"/>
      <c r="R4" s="414"/>
      <c r="S4" s="512"/>
      <c r="T4" s="512"/>
      <c r="U4" s="512"/>
      <c r="V4" s="512"/>
      <c r="W4" s="512"/>
      <c r="X4" s="512"/>
      <c r="Y4" s="512"/>
      <c r="Z4" s="512"/>
      <c r="AA4" s="512"/>
    </row>
    <row r="5" spans="1:27" ht="19.5" customHeight="1" thickBot="1" x14ac:dyDescent="0.35">
      <c r="A5" s="108" t="s">
        <v>101</v>
      </c>
      <c r="B5" s="83"/>
      <c r="C5" s="49"/>
      <c r="D5" s="49"/>
      <c r="E5" s="50"/>
      <c r="F5" s="49"/>
      <c r="G5" s="74"/>
      <c r="H5" s="604" t="s">
        <v>366</v>
      </c>
      <c r="I5" s="94"/>
      <c r="J5" s="95"/>
      <c r="K5" s="95"/>
      <c r="L5" s="96"/>
      <c r="M5" s="362"/>
      <c r="N5" s="51"/>
      <c r="O5" s="51"/>
      <c r="P5" s="51"/>
      <c r="Q5" s="51"/>
      <c r="R5" s="513"/>
      <c r="S5" s="513"/>
      <c r="T5" s="513"/>
      <c r="U5" s="513"/>
      <c r="V5" s="513"/>
      <c r="W5" s="513"/>
      <c r="X5" s="513"/>
      <c r="Y5" s="513"/>
      <c r="Z5" s="517"/>
      <c r="AA5" s="512"/>
    </row>
    <row r="6" spans="1:27" ht="15.75" customHeight="1" x14ac:dyDescent="0.2">
      <c r="A6" s="143"/>
      <c r="B6" s="144"/>
      <c r="C6" s="145"/>
      <c r="D6" s="146" t="s">
        <v>375</v>
      </c>
      <c r="E6" s="147">
        <v>12</v>
      </c>
      <c r="F6" s="434" t="s">
        <v>0</v>
      </c>
      <c r="G6" s="92"/>
      <c r="H6" s="465"/>
      <c r="I6" s="521"/>
      <c r="J6" s="212"/>
      <c r="K6" s="522" t="s">
        <v>689</v>
      </c>
      <c r="L6" s="651">
        <f>Lmin</f>
        <v>23.849999999999998</v>
      </c>
      <c r="M6" s="654" t="s">
        <v>96</v>
      </c>
      <c r="N6" s="51"/>
      <c r="O6" s="51"/>
      <c r="P6" s="51"/>
      <c r="Q6" s="51"/>
      <c r="R6" s="84"/>
      <c r="S6" s="84"/>
      <c r="T6" s="77"/>
      <c r="U6" s="77"/>
      <c r="V6" s="77"/>
      <c r="W6" s="77"/>
      <c r="X6" s="77"/>
      <c r="Y6" s="77"/>
      <c r="Z6" s="518"/>
      <c r="AA6" s="512"/>
    </row>
    <row r="7" spans="1:27" ht="14.25" customHeight="1" x14ac:dyDescent="0.25">
      <c r="A7" s="137"/>
      <c r="B7" s="136"/>
      <c r="C7" s="138"/>
      <c r="D7" s="148" t="s">
        <v>376</v>
      </c>
      <c r="E7" s="149">
        <v>24</v>
      </c>
      <c r="F7" s="435" t="s">
        <v>0</v>
      </c>
      <c r="G7" s="92"/>
      <c r="H7" s="90"/>
      <c r="I7" s="91"/>
      <c r="J7" s="89"/>
      <c r="K7" s="102" t="s">
        <v>373</v>
      </c>
      <c r="L7" s="149">
        <v>30</v>
      </c>
      <c r="M7" s="435" t="s">
        <v>96</v>
      </c>
      <c r="N7" s="51"/>
      <c r="O7" s="51"/>
      <c r="P7" s="51"/>
      <c r="Q7" s="51"/>
      <c r="R7" s="84"/>
      <c r="S7" s="84"/>
      <c r="T7" s="77"/>
      <c r="U7" s="77"/>
      <c r="V7" s="77"/>
      <c r="W7" s="77"/>
      <c r="X7" s="77"/>
      <c r="Y7" s="77"/>
      <c r="Z7" s="518"/>
      <c r="AA7" s="512"/>
    </row>
    <row r="8" spans="1:27" ht="15.75" customHeight="1" x14ac:dyDescent="0.2">
      <c r="A8" s="137"/>
      <c r="B8" s="136"/>
      <c r="C8" s="138"/>
      <c r="D8" s="148" t="s">
        <v>377</v>
      </c>
      <c r="E8" s="149">
        <v>48</v>
      </c>
      <c r="F8" s="435" t="s">
        <v>0</v>
      </c>
      <c r="G8" s="92"/>
      <c r="H8" s="90"/>
      <c r="I8" s="91"/>
      <c r="J8" s="89"/>
      <c r="K8" s="102" t="s">
        <v>546</v>
      </c>
      <c r="L8" s="149">
        <v>200</v>
      </c>
      <c r="M8" s="435" t="s">
        <v>20</v>
      </c>
      <c r="N8" s="51"/>
      <c r="O8" s="51"/>
      <c r="P8" s="51"/>
      <c r="Q8" s="51"/>
      <c r="R8" s="84"/>
      <c r="S8" s="84"/>
      <c r="T8" s="77"/>
      <c r="U8" s="77"/>
      <c r="V8" s="77"/>
      <c r="W8" s="77"/>
      <c r="X8" s="77"/>
      <c r="Y8" s="77"/>
      <c r="Z8" s="518"/>
      <c r="AA8" s="512"/>
    </row>
    <row r="9" spans="1:27" ht="15.75" customHeight="1" x14ac:dyDescent="0.2">
      <c r="A9" s="137"/>
      <c r="B9" s="136"/>
      <c r="C9" s="138"/>
      <c r="D9" s="148" t="s">
        <v>374</v>
      </c>
      <c r="E9" s="602">
        <v>32</v>
      </c>
      <c r="F9" s="150"/>
      <c r="G9" s="92"/>
      <c r="H9" s="90"/>
      <c r="I9" s="91"/>
      <c r="J9" s="89"/>
      <c r="K9" s="102" t="str">
        <f>CHOOSE(MODE, "Secondary Winding DCR", "Secondary Winding #1 DCR")</f>
        <v>Secondary Winding DCR</v>
      </c>
      <c r="L9" s="149">
        <v>40</v>
      </c>
      <c r="M9" s="435" t="s">
        <v>20</v>
      </c>
      <c r="N9" s="51"/>
      <c r="O9" s="51"/>
      <c r="P9" s="51"/>
      <c r="Q9" s="51"/>
      <c r="R9" s="84"/>
      <c r="S9" s="84"/>
      <c r="T9" s="77"/>
      <c r="U9" s="77"/>
      <c r="V9" s="77"/>
      <c r="W9" s="77"/>
      <c r="X9" s="77"/>
      <c r="Y9" s="77"/>
      <c r="Z9" s="518"/>
      <c r="AA9" s="512"/>
    </row>
    <row r="10" spans="1:27" ht="15.75" customHeight="1" x14ac:dyDescent="0.2">
      <c r="A10" s="137"/>
      <c r="B10" s="136"/>
      <c r="C10" s="138"/>
      <c r="D10" s="148" t="str">
        <f>CHOOSE(MODE, "Output Voltage, VOUT ", "Output Voltage, VOUT1")</f>
        <v xml:space="preserve">Output Voltage, VOUT </v>
      </c>
      <c r="E10" s="149">
        <v>5</v>
      </c>
      <c r="F10" s="435" t="s">
        <v>0</v>
      </c>
      <c r="G10" s="92"/>
      <c r="H10" s="90"/>
      <c r="I10" s="91"/>
      <c r="J10" s="89"/>
      <c r="K10" s="102" t="str">
        <f>CHOOSE(MODE, "", "Secondary Winding #2 DCR")</f>
        <v/>
      </c>
      <c r="L10" s="149">
        <v>100</v>
      </c>
      <c r="M10" s="435" t="str">
        <f>CHOOSE(MODE, "", "mΩ")</f>
        <v/>
      </c>
      <c r="N10" s="51"/>
      <c r="O10" s="51"/>
      <c r="P10" s="51"/>
      <c r="Q10" s="51"/>
      <c r="R10" s="84"/>
      <c r="S10" s="84"/>
      <c r="T10" s="77"/>
      <c r="U10" s="77"/>
      <c r="V10" s="77"/>
      <c r="W10" s="77"/>
      <c r="X10" s="77"/>
      <c r="Y10" s="77"/>
      <c r="Z10" s="518"/>
      <c r="AA10" s="512"/>
    </row>
    <row r="11" spans="1:27" ht="15.75" customHeight="1" thickBot="1" x14ac:dyDescent="0.25">
      <c r="A11" s="140"/>
      <c r="B11" s="157"/>
      <c r="C11" s="519"/>
      <c r="D11" s="525" t="str">
        <f>CHOOSE(MODE, "Rated Output Current, IOUT ", "Rated Output Current, IOUT1")</f>
        <v xml:space="preserve">Rated Output Current, IOUT </v>
      </c>
      <c r="E11" s="526">
        <v>1</v>
      </c>
      <c r="F11" s="527" t="s">
        <v>1</v>
      </c>
      <c r="G11" s="92"/>
      <c r="H11" s="90"/>
      <c r="I11" s="77"/>
      <c r="J11" s="77"/>
      <c r="K11" s="102" t="s">
        <v>693</v>
      </c>
      <c r="L11" s="149">
        <v>200</v>
      </c>
      <c r="M11" s="435" t="s">
        <v>692</v>
      </c>
      <c r="N11" s="51"/>
      <c r="O11" s="51"/>
      <c r="P11" s="51"/>
      <c r="Q11" s="51"/>
      <c r="R11" s="84"/>
      <c r="S11" s="84"/>
      <c r="T11" s="77"/>
      <c r="U11" s="77"/>
      <c r="V11" s="77"/>
      <c r="W11" s="77"/>
      <c r="X11" s="77"/>
      <c r="Y11" s="77"/>
      <c r="Z11" s="518"/>
      <c r="AA11" s="512"/>
    </row>
    <row r="12" spans="1:27" ht="15.75" customHeight="1" x14ac:dyDescent="0.2">
      <c r="A12" s="77"/>
      <c r="B12" s="77"/>
      <c r="C12" s="77"/>
      <c r="D12" s="148" t="str">
        <f>CHOOSE(MODE, "", "Output Voltage, VOUT2")</f>
        <v/>
      </c>
      <c r="E12" s="149">
        <v>3.3</v>
      </c>
      <c r="F12" s="435" t="str">
        <f>CHOOSE(MODE, "", "V", "V")</f>
        <v/>
      </c>
      <c r="G12" s="92"/>
      <c r="H12" s="90"/>
      <c r="I12" s="91"/>
      <c r="J12" s="89"/>
      <c r="K12" s="88" t="str">
        <f>IF(MODE=1, "Transformer Turns Ratio, Pri : Sec", "Turns Ratio, PRI : SEC1")</f>
        <v>Transformer Turns Ratio, Pri : Sec</v>
      </c>
      <c r="L12" s="443"/>
      <c r="M12" s="464"/>
      <c r="N12" s="51"/>
      <c r="O12" s="51"/>
      <c r="P12" s="51"/>
      <c r="Q12" s="51"/>
      <c r="R12" s="84"/>
      <c r="S12" s="84"/>
      <c r="T12" s="77"/>
      <c r="U12" s="77"/>
      <c r="V12" s="77"/>
      <c r="W12" s="77"/>
      <c r="X12" s="77"/>
      <c r="Y12" s="77"/>
      <c r="Z12" s="518"/>
      <c r="AA12" s="512"/>
    </row>
    <row r="13" spans="1:27" ht="15.75" customHeight="1" thickBot="1" x14ac:dyDescent="0.25">
      <c r="A13" s="140"/>
      <c r="B13" s="157"/>
      <c r="C13" s="519"/>
      <c r="D13" s="525" t="str">
        <f>CHOOSE(MODE, "", "Rated Output Current, IOUT2")</f>
        <v/>
      </c>
      <c r="E13" s="526">
        <v>0.5</v>
      </c>
      <c r="F13" s="527" t="str">
        <f>CHOOSE(MODE, "", "A", "A")</f>
        <v/>
      </c>
      <c r="G13" s="92"/>
      <c r="H13" s="137"/>
      <c r="I13" s="136"/>
      <c r="J13" s="138"/>
      <c r="K13" s="89" t="str">
        <f>CHOOSE(MODE, "Diode Max Rev Voltage (Spike Not Included)", "Turns Ratio, SEC1 : SEC2")</f>
        <v>Diode Max Rev Voltage (Spike Not Included)</v>
      </c>
      <c r="L13" s="652">
        <f>CHOOSE(MODE, ROUND(VRRM_DIODE,0), ROUND(Nsec1sec2,2))</f>
        <v>21</v>
      </c>
      <c r="M13" s="464" t="str">
        <f>CHOOSE(MODE, "V", "")</f>
        <v>V</v>
      </c>
      <c r="N13" s="51"/>
      <c r="O13" s="51"/>
      <c r="P13" s="51"/>
      <c r="Q13" s="51"/>
      <c r="R13" s="84"/>
      <c r="S13" s="84"/>
      <c r="T13" s="77"/>
      <c r="U13" s="77"/>
      <c r="V13" s="77"/>
      <c r="W13" s="77"/>
      <c r="X13" s="77"/>
      <c r="Y13" s="77"/>
      <c r="Z13" s="518"/>
      <c r="AA13" s="512"/>
    </row>
    <row r="14" spans="1:27" ht="15.75" customHeight="1" x14ac:dyDescent="0.2">
      <c r="A14" s="432"/>
      <c r="B14" s="77"/>
      <c r="C14" s="77"/>
      <c r="D14" s="77"/>
      <c r="E14" s="77"/>
      <c r="F14" s="528"/>
      <c r="G14" s="93"/>
      <c r="H14" s="137"/>
      <c r="I14" s="136"/>
      <c r="J14" s="621"/>
      <c r="K14" s="138" t="s">
        <v>687</v>
      </c>
      <c r="L14" s="663">
        <f>Don_Vinmin*100</f>
        <v>57.446808510638306</v>
      </c>
      <c r="M14" s="656" t="s">
        <v>688</v>
      </c>
      <c r="N14" s="51"/>
      <c r="O14" s="51"/>
      <c r="P14" s="51"/>
      <c r="Q14" s="51"/>
      <c r="R14" s="84"/>
      <c r="S14" s="84"/>
      <c r="T14" s="77"/>
      <c r="U14" s="77"/>
      <c r="V14" s="77"/>
      <c r="W14" s="77"/>
      <c r="X14" s="77"/>
      <c r="Y14" s="77"/>
      <c r="Z14" s="518"/>
      <c r="AA14" s="512"/>
    </row>
    <row r="15" spans="1:27" ht="19.5" customHeight="1" thickBot="1" x14ac:dyDescent="0.35">
      <c r="A15" s="108" t="s">
        <v>299</v>
      </c>
      <c r="B15" s="94"/>
      <c r="C15" s="95"/>
      <c r="D15" s="95"/>
      <c r="E15" s="96"/>
      <c r="F15" s="95"/>
      <c r="G15" s="92"/>
      <c r="H15" s="622"/>
      <c r="I15" s="516"/>
      <c r="J15" s="516"/>
      <c r="K15" s="519" t="s">
        <v>628</v>
      </c>
      <c r="L15" s="658">
        <f>'Variable Mgmt'!B38</f>
        <v>3.7852258064516122</v>
      </c>
      <c r="M15" s="657" t="s">
        <v>45</v>
      </c>
      <c r="N15" s="51"/>
      <c r="O15" s="51"/>
      <c r="P15" s="51"/>
      <c r="Q15" s="51"/>
      <c r="R15" s="84"/>
      <c r="S15" s="84"/>
      <c r="T15" s="77"/>
      <c r="U15" s="77"/>
      <c r="V15" s="77"/>
      <c r="W15" s="77"/>
      <c r="X15" s="77"/>
      <c r="Y15" s="77"/>
      <c r="Z15" s="518"/>
      <c r="AA15" s="512"/>
    </row>
    <row r="16" spans="1:27" ht="15.75" customHeight="1" x14ac:dyDescent="0.2">
      <c r="A16" s="392"/>
      <c r="B16" s="595"/>
      <c r="C16" s="596"/>
      <c r="D16" s="212" t="s">
        <v>318</v>
      </c>
      <c r="E16" s="631">
        <f>'Variable Mgmt'!B119</f>
        <v>2.2000000000000002</v>
      </c>
      <c r="F16" s="436" t="s">
        <v>97</v>
      </c>
      <c r="G16" s="92"/>
      <c r="H16" s="91"/>
      <c r="I16" s="51"/>
      <c r="J16" s="51"/>
      <c r="K16" s="89"/>
      <c r="L16" s="51"/>
      <c r="M16" s="91"/>
      <c r="N16" s="51"/>
      <c r="O16" s="51"/>
      <c r="P16" s="51"/>
      <c r="Q16" s="51"/>
      <c r="R16" s="84"/>
      <c r="S16" s="84"/>
      <c r="T16" s="77"/>
      <c r="U16" s="77"/>
      <c r="V16" s="77"/>
      <c r="W16" s="77"/>
      <c r="X16" s="77"/>
      <c r="Y16" s="77"/>
      <c r="Z16" s="518"/>
      <c r="AA16" s="512"/>
    </row>
    <row r="17" spans="1:27" ht="15.75" customHeight="1" x14ac:dyDescent="0.25">
      <c r="A17" s="99"/>
      <c r="B17" s="91"/>
      <c r="C17" s="98"/>
      <c r="D17" s="102" t="s">
        <v>141</v>
      </c>
      <c r="E17" s="100">
        <v>4.7</v>
      </c>
      <c r="F17" s="437" t="s">
        <v>97</v>
      </c>
      <c r="G17" s="92"/>
      <c r="H17" s="91"/>
      <c r="I17" s="51"/>
      <c r="J17" s="51"/>
      <c r="K17" s="51"/>
      <c r="L17" s="51"/>
      <c r="M17" s="51"/>
      <c r="N17" s="51"/>
      <c r="O17" s="51"/>
      <c r="P17" s="51"/>
      <c r="Q17" s="51"/>
      <c r="R17" s="84"/>
      <c r="S17" s="84"/>
      <c r="T17" s="77"/>
      <c r="U17" s="77"/>
      <c r="V17" s="77"/>
      <c r="W17" s="77"/>
      <c r="X17" s="77"/>
      <c r="Y17" s="77"/>
      <c r="Z17" s="518"/>
      <c r="AA17" s="512"/>
    </row>
    <row r="18" spans="1:27" ht="15.75" customHeight="1" x14ac:dyDescent="0.2">
      <c r="A18" s="99"/>
      <c r="B18" s="91"/>
      <c r="C18" s="154"/>
      <c r="D18" s="148" t="s">
        <v>104</v>
      </c>
      <c r="E18" s="153">
        <v>3</v>
      </c>
      <c r="F18" s="438" t="s">
        <v>20</v>
      </c>
      <c r="G18" s="92"/>
      <c r="H18" s="91"/>
      <c r="I18" s="51"/>
      <c r="J18" s="51"/>
      <c r="K18" s="51"/>
      <c r="L18" s="51"/>
      <c r="M18" s="51"/>
      <c r="N18" s="51"/>
      <c r="O18" s="51"/>
      <c r="P18" s="51"/>
      <c r="Q18" s="51"/>
      <c r="R18" s="84"/>
      <c r="S18" s="84"/>
      <c r="T18" s="77"/>
      <c r="U18" s="77"/>
      <c r="V18" s="77"/>
      <c r="W18" s="77"/>
      <c r="X18" s="77"/>
      <c r="Y18" s="77"/>
      <c r="Z18" s="518"/>
      <c r="AA18" s="512"/>
    </row>
    <row r="19" spans="1:27" ht="15.75" customHeight="1" thickBot="1" x14ac:dyDescent="0.35">
      <c r="A19" s="103"/>
      <c r="B19" s="104"/>
      <c r="C19" s="110"/>
      <c r="D19" s="214" t="s">
        <v>512</v>
      </c>
      <c r="E19" s="215">
        <f>Vinripple2*1000</f>
        <v>111.44574008371804</v>
      </c>
      <c r="F19" s="107" t="s">
        <v>103</v>
      </c>
      <c r="G19" s="92"/>
      <c r="H19" s="91"/>
      <c r="I19" s="51"/>
      <c r="J19" s="51"/>
      <c r="K19" s="51"/>
      <c r="L19" s="51"/>
      <c r="M19" s="51"/>
      <c r="N19" s="51"/>
      <c r="O19" s="51"/>
      <c r="P19" s="51"/>
      <c r="Q19" s="51"/>
      <c r="R19" s="84"/>
      <c r="S19" s="84"/>
      <c r="T19" s="77"/>
      <c r="U19" s="77"/>
      <c r="V19" s="77"/>
      <c r="W19" s="77"/>
      <c r="X19" s="77"/>
      <c r="Y19" s="77"/>
      <c r="Z19" s="518"/>
      <c r="AA19" s="512"/>
    </row>
    <row r="20" spans="1:27" ht="15.75" customHeight="1" thickBot="1" x14ac:dyDescent="0.25">
      <c r="A20" s="429"/>
      <c r="B20" s="430"/>
      <c r="C20" s="431"/>
      <c r="D20" s="431" t="str">
        <f>CHOOSE(MODE, "Minimum Output Capacitance", "Minimum Output Capacitance, Output #1")</f>
        <v>Minimum Output Capacitance</v>
      </c>
      <c r="E20" s="650">
        <f>'Variable Mgmt'!B94</f>
        <v>46.558277419354823</v>
      </c>
      <c r="F20" s="436" t="s">
        <v>97</v>
      </c>
      <c r="G20" s="606"/>
      <c r="H20" s="596"/>
      <c r="I20" s="605"/>
      <c r="J20" s="513"/>
      <c r="K20" s="431" t="str">
        <f>CHOOSE(MODE, "", "Minimum Output Capacitance, Output #2")</f>
        <v/>
      </c>
      <c r="L20" s="650">
        <f>'Variable Mgmt'!B104</f>
        <v>28.409090909090907</v>
      </c>
      <c r="M20" s="436" t="s">
        <v>97</v>
      </c>
      <c r="N20" s="51"/>
      <c r="O20" s="51"/>
      <c r="P20" s="51"/>
      <c r="Q20" s="51"/>
      <c r="R20" s="84"/>
      <c r="S20" s="84"/>
      <c r="T20" s="77"/>
      <c r="U20" s="77"/>
      <c r="V20" s="77"/>
      <c r="W20" s="77"/>
      <c r="X20" s="77"/>
      <c r="Y20" s="77"/>
      <c r="Z20" s="518"/>
      <c r="AA20" s="512"/>
    </row>
    <row r="21" spans="1:27" ht="15.75" customHeight="1" x14ac:dyDescent="0.2">
      <c r="A21" s="90"/>
      <c r="B21" s="91"/>
      <c r="C21" s="138"/>
      <c r="D21" s="155" t="s">
        <v>140</v>
      </c>
      <c r="E21" s="149">
        <v>100</v>
      </c>
      <c r="F21" s="435" t="s">
        <v>97</v>
      </c>
      <c r="G21" s="607"/>
      <c r="H21" s="91"/>
      <c r="I21" s="51"/>
      <c r="J21" s="77"/>
      <c r="K21" s="155" t="s">
        <v>554</v>
      </c>
      <c r="L21" s="149">
        <v>47</v>
      </c>
      <c r="M21" s="435" t="s">
        <v>97</v>
      </c>
      <c r="N21" s="51"/>
      <c r="O21" s="51"/>
      <c r="P21" s="51"/>
      <c r="Q21" s="51"/>
      <c r="R21" s="84"/>
      <c r="S21" s="84"/>
      <c r="T21" s="77"/>
      <c r="U21" s="77"/>
      <c r="V21" s="77"/>
      <c r="W21" s="77"/>
      <c r="X21" s="77"/>
      <c r="Y21" s="77"/>
      <c r="Z21" s="518"/>
      <c r="AA21" s="512"/>
    </row>
    <row r="22" spans="1:27" ht="16.5" customHeight="1" thickBot="1" x14ac:dyDescent="0.25">
      <c r="A22" s="90"/>
      <c r="B22" s="91"/>
      <c r="C22" s="154"/>
      <c r="D22" s="148" t="s">
        <v>555</v>
      </c>
      <c r="E22" s="153">
        <v>3</v>
      </c>
      <c r="F22" s="438" t="s">
        <v>20</v>
      </c>
      <c r="G22" s="608"/>
      <c r="H22" s="91"/>
      <c r="I22" s="51"/>
      <c r="J22" s="77"/>
      <c r="K22" s="148" t="s">
        <v>555</v>
      </c>
      <c r="L22" s="153">
        <v>3</v>
      </c>
      <c r="M22" s="438" t="s">
        <v>20</v>
      </c>
      <c r="N22" s="51"/>
      <c r="O22" s="51"/>
      <c r="P22" s="51"/>
      <c r="Q22" s="51"/>
      <c r="R22" s="84"/>
      <c r="S22" s="84"/>
      <c r="T22" s="77"/>
      <c r="U22" s="77"/>
      <c r="V22" s="77"/>
      <c r="W22" s="77"/>
      <c r="X22" s="77"/>
      <c r="Y22" s="77"/>
      <c r="Z22" s="518"/>
      <c r="AA22" s="512"/>
    </row>
    <row r="23" spans="1:27" ht="15.75" customHeight="1" thickBot="1" x14ac:dyDescent="0.35">
      <c r="A23" s="103"/>
      <c r="B23" s="106"/>
      <c r="C23" s="106"/>
      <c r="D23" s="214" t="str">
        <f>CHOOSE(MODE, "Resulting Output Voltage Ripple", "Resulting Output Voltage Ripple, Output #1")</f>
        <v>Resulting Output Voltage Ripple</v>
      </c>
      <c r="E23" s="215">
        <f>Vripple1_actual</f>
        <v>17.522187281621243</v>
      </c>
      <c r="F23" s="107" t="s">
        <v>103</v>
      </c>
      <c r="G23" s="606"/>
      <c r="H23" s="106"/>
      <c r="I23" s="516"/>
      <c r="J23" s="515"/>
      <c r="K23" s="214" t="str">
        <f>CHOOSE(MODE, "", "Resulting Output Voltage Ripple, Output #2")</f>
        <v/>
      </c>
      <c r="L23" s="215">
        <f>Vripple2_actual</f>
        <v>52.40891162457627</v>
      </c>
      <c r="M23" s="107" t="s">
        <v>103</v>
      </c>
      <c r="N23" s="51"/>
      <c r="O23" s="51"/>
      <c r="P23" s="51"/>
      <c r="Q23" s="51"/>
      <c r="R23" s="84"/>
      <c r="S23" s="84"/>
      <c r="T23" s="77"/>
      <c r="U23" s="77"/>
      <c r="V23" s="77"/>
      <c r="W23" s="77"/>
      <c r="X23" s="77"/>
      <c r="Y23" s="77"/>
      <c r="Z23" s="518"/>
      <c r="AA23" s="512"/>
    </row>
    <row r="24" spans="1:27" ht="13.5" customHeight="1" x14ac:dyDescent="0.2">
      <c r="A24" s="432"/>
      <c r="B24" s="77"/>
      <c r="C24" s="77"/>
      <c r="D24" s="77"/>
      <c r="E24" s="77"/>
      <c r="F24" s="77"/>
      <c r="G24" s="77"/>
      <c r="H24" s="77"/>
      <c r="I24" s="77"/>
      <c r="J24" s="77"/>
      <c r="K24" s="77"/>
      <c r="L24" s="77"/>
      <c r="M24" s="77"/>
      <c r="N24" s="51"/>
      <c r="O24" s="51"/>
      <c r="P24" s="51"/>
      <c r="Q24" s="51"/>
      <c r="R24" s="84"/>
      <c r="S24" s="84"/>
      <c r="T24" s="77"/>
      <c r="U24" s="77"/>
      <c r="V24" s="77"/>
      <c r="W24" s="77"/>
      <c r="X24" s="77"/>
      <c r="Y24" s="77"/>
      <c r="Z24" s="518"/>
      <c r="AA24" s="512"/>
    </row>
    <row r="25" spans="1:27" ht="19.5" customHeight="1" thickBot="1" x14ac:dyDescent="0.35">
      <c r="A25" s="108" t="s">
        <v>395</v>
      </c>
      <c r="B25" s="97"/>
      <c r="C25" s="91"/>
      <c r="D25" s="89"/>
      <c r="E25" s="91"/>
      <c r="F25" s="91"/>
      <c r="G25" s="91"/>
      <c r="H25" s="91"/>
      <c r="I25" s="51"/>
      <c r="J25" s="51"/>
      <c r="K25" s="51"/>
      <c r="L25" s="51"/>
      <c r="M25" s="51"/>
      <c r="N25" s="51"/>
      <c r="O25" s="51"/>
      <c r="P25" s="51"/>
      <c r="Q25" s="51"/>
      <c r="R25" s="84"/>
      <c r="S25" s="84"/>
      <c r="T25" s="77"/>
      <c r="U25" s="77"/>
      <c r="V25" s="77"/>
      <c r="W25" s="77"/>
      <c r="X25" s="77"/>
      <c r="Y25" s="77"/>
      <c r="Z25" s="518"/>
      <c r="AA25" s="512"/>
    </row>
    <row r="26" spans="1:27" ht="15.75" customHeight="1" x14ac:dyDescent="0.2">
      <c r="A26" s="143"/>
      <c r="B26" s="144"/>
      <c r="C26" s="212"/>
      <c r="D26" s="212" t="s">
        <v>380</v>
      </c>
      <c r="E26" s="599">
        <f>Rfb_recommend</f>
        <v>159</v>
      </c>
      <c r="F26" s="530" t="s">
        <v>21</v>
      </c>
      <c r="G26" s="91"/>
      <c r="H26" s="91"/>
      <c r="I26" s="51"/>
      <c r="J26" s="51"/>
      <c r="K26" s="51"/>
      <c r="L26" s="51"/>
      <c r="M26" s="51"/>
      <c r="N26" s="51"/>
      <c r="O26" s="51"/>
      <c r="P26" s="51"/>
      <c r="Q26" s="51"/>
      <c r="R26" s="84"/>
      <c r="S26" s="84"/>
      <c r="T26" s="77"/>
      <c r="U26" s="77"/>
      <c r="V26" s="77"/>
      <c r="W26" s="77"/>
      <c r="X26" s="77"/>
      <c r="Y26" s="77"/>
      <c r="Z26" s="518"/>
      <c r="AA26" s="512"/>
    </row>
    <row r="27" spans="1:27" ht="15.75" customHeight="1" thickBot="1" x14ac:dyDescent="0.25">
      <c r="A27" s="137"/>
      <c r="B27" s="136"/>
      <c r="C27" s="138"/>
      <c r="D27" s="155" t="s">
        <v>378</v>
      </c>
      <c r="E27" s="156">
        <v>158</v>
      </c>
      <c r="F27" s="150" t="str">
        <f>IF(Vout=Vref,"","kΩ")</f>
        <v>kΩ</v>
      </c>
      <c r="G27" s="91"/>
      <c r="H27" s="91"/>
      <c r="I27" s="51"/>
      <c r="J27" s="51"/>
      <c r="K27" s="51"/>
      <c r="L27" s="51"/>
      <c r="M27" s="51"/>
      <c r="N27" s="51"/>
      <c r="O27" s="51"/>
      <c r="P27" s="51"/>
      <c r="Q27" s="51"/>
      <c r="R27" s="84"/>
      <c r="S27" s="84"/>
      <c r="T27" s="77"/>
      <c r="U27" s="77"/>
      <c r="V27" s="77"/>
      <c r="W27" s="77"/>
      <c r="X27" s="77"/>
      <c r="Y27" s="77"/>
      <c r="Z27" s="518"/>
      <c r="AA27" s="512"/>
    </row>
    <row r="28" spans="1:27" ht="14.1" customHeight="1" x14ac:dyDescent="0.2">
      <c r="A28" s="396"/>
      <c r="B28" s="397"/>
      <c r="C28" s="398"/>
      <c r="D28" s="399" t="s">
        <v>293</v>
      </c>
      <c r="E28" s="400"/>
      <c r="F28" s="401"/>
      <c r="G28" s="92"/>
      <c r="H28" s="91"/>
      <c r="I28" s="51"/>
      <c r="J28" s="51"/>
      <c r="K28" s="51"/>
      <c r="L28" s="51"/>
      <c r="M28" s="51"/>
      <c r="N28" s="51"/>
      <c r="O28" s="51"/>
      <c r="P28" s="51"/>
      <c r="Q28" s="51"/>
      <c r="R28" s="84"/>
      <c r="S28" s="84"/>
      <c r="T28" s="77"/>
      <c r="U28" s="77"/>
      <c r="V28" s="77"/>
      <c r="W28" s="77"/>
      <c r="X28" s="77"/>
      <c r="Y28" s="77"/>
      <c r="Z28" s="518"/>
      <c r="AA28" s="512"/>
    </row>
    <row r="29" spans="1:27" ht="16.5" customHeight="1" x14ac:dyDescent="0.2">
      <c r="A29" s="137"/>
      <c r="B29" s="136"/>
      <c r="C29" s="136"/>
      <c r="D29" s="152" t="str">
        <f>CHOOSE(MODE_SS,"Soft-Start Time","*Leave SS Pin Open or Supply by Ext. Bias")</f>
        <v>*Leave SS Pin Open or Supply by Ext. Bias</v>
      </c>
      <c r="E29" s="153">
        <v>9</v>
      </c>
      <c r="F29" s="150" t="s">
        <v>63</v>
      </c>
      <c r="G29" s="92"/>
      <c r="H29" s="91"/>
      <c r="I29" s="51"/>
      <c r="J29" s="51"/>
      <c r="K29" s="51"/>
      <c r="L29" s="51"/>
      <c r="M29" s="51"/>
      <c r="N29" s="51"/>
      <c r="O29" s="51"/>
      <c r="P29" s="51"/>
      <c r="Q29" s="51"/>
      <c r="R29" s="84"/>
      <c r="S29" s="84"/>
      <c r="T29" s="77"/>
      <c r="U29" s="77"/>
      <c r="V29" s="77"/>
      <c r="W29" s="77"/>
      <c r="X29" s="77"/>
      <c r="Y29" s="77"/>
      <c r="Z29" s="518"/>
      <c r="AA29" s="512"/>
    </row>
    <row r="30" spans="1:27" ht="16.5" customHeight="1" thickBot="1" x14ac:dyDescent="0.35">
      <c r="A30" s="140"/>
      <c r="B30" s="141"/>
      <c r="C30" s="141"/>
      <c r="D30" s="379" t="s">
        <v>142</v>
      </c>
      <c r="E30" s="395">
        <f>IF(Tss&gt;0.0001,Css_u*1000000000,"N/A")</f>
        <v>47</v>
      </c>
      <c r="F30" s="142" t="s">
        <v>56</v>
      </c>
      <c r="G30" s="92"/>
      <c r="H30" s="91"/>
      <c r="I30" s="51"/>
      <c r="J30" s="51"/>
      <c r="K30" s="51"/>
      <c r="L30" s="51"/>
      <c r="M30" s="51"/>
      <c r="N30" s="51"/>
      <c r="O30" s="51"/>
      <c r="P30" s="51"/>
      <c r="Q30" s="51"/>
      <c r="R30" s="84"/>
      <c r="S30" s="84"/>
      <c r="T30" s="77"/>
      <c r="U30" s="77"/>
      <c r="V30" s="77"/>
      <c r="W30" s="77"/>
      <c r="X30" s="77"/>
      <c r="Y30" s="77"/>
      <c r="Z30" s="518"/>
      <c r="AA30" s="512"/>
    </row>
    <row r="31" spans="1:27" ht="15.75" customHeight="1" x14ac:dyDescent="0.2">
      <c r="A31" s="137"/>
      <c r="B31" s="136"/>
      <c r="C31" s="136"/>
      <c r="D31" s="88" t="s">
        <v>393</v>
      </c>
      <c r="E31" s="151"/>
      <c r="F31" s="139"/>
      <c r="G31" s="91"/>
      <c r="H31" s="91"/>
      <c r="I31" s="51"/>
      <c r="J31" s="51"/>
      <c r="K31" s="51"/>
      <c r="L31" s="51"/>
      <c r="M31" s="51"/>
      <c r="N31" s="51"/>
      <c r="O31" s="51"/>
      <c r="P31" s="51"/>
      <c r="Q31" s="51"/>
      <c r="R31" s="84"/>
      <c r="S31" s="84"/>
      <c r="T31" s="77"/>
      <c r="U31" s="77"/>
      <c r="V31" s="77"/>
      <c r="W31" s="77"/>
      <c r="X31" s="77"/>
      <c r="Y31" s="77"/>
      <c r="Z31" s="518"/>
      <c r="AA31" s="512"/>
    </row>
    <row r="32" spans="1:27" ht="15.75" customHeight="1" x14ac:dyDescent="0.2">
      <c r="A32" s="137"/>
      <c r="B32" s="136"/>
      <c r="C32" s="136"/>
      <c r="D32" s="88" t="str">
        <f>CHOOSE(TC,"Diode Voltage Drop Thermal Coefficient","*Leave TC Pin Open")</f>
        <v>Diode Voltage Drop Thermal Coefficient</v>
      </c>
      <c r="E32" s="603">
        <v>-1</v>
      </c>
      <c r="F32" s="139" t="s">
        <v>392</v>
      </c>
      <c r="G32" s="91"/>
      <c r="H32" s="91"/>
      <c r="I32" s="51"/>
      <c r="J32" s="51"/>
      <c r="K32" s="51"/>
      <c r="L32" s="51"/>
      <c r="M32" s="51"/>
      <c r="N32" s="51"/>
      <c r="O32" s="51"/>
      <c r="P32" s="51"/>
      <c r="Q32" s="51"/>
      <c r="R32" s="84"/>
      <c r="S32" s="84"/>
      <c r="T32" s="77"/>
      <c r="U32" s="77"/>
      <c r="V32" s="77"/>
      <c r="W32" s="77"/>
      <c r="X32" s="77"/>
      <c r="Y32" s="77"/>
      <c r="Z32" s="518"/>
      <c r="AA32" s="512"/>
    </row>
    <row r="33" spans="1:35" ht="15.75" customHeight="1" thickBot="1" x14ac:dyDescent="0.25">
      <c r="A33" s="140"/>
      <c r="B33" s="157"/>
      <c r="C33" s="157"/>
      <c r="D33" s="519" t="s">
        <v>394</v>
      </c>
      <c r="E33" s="540">
        <f>RTC</f>
        <v>158</v>
      </c>
      <c r="F33" s="541" t="s">
        <v>21</v>
      </c>
      <c r="G33" s="91"/>
      <c r="H33" s="91"/>
      <c r="I33" s="51"/>
      <c r="J33" s="51"/>
      <c r="K33" s="75"/>
      <c r="L33" s="51"/>
      <c r="M33" s="51"/>
      <c r="N33" s="51"/>
      <c r="O33" s="51"/>
      <c r="P33" s="51"/>
      <c r="Q33" s="51"/>
      <c r="R33" s="84"/>
      <c r="S33" s="84"/>
      <c r="T33" s="77"/>
      <c r="U33" s="77"/>
      <c r="V33" s="77"/>
      <c r="W33" s="77"/>
      <c r="X33" s="77"/>
      <c r="Y33" s="77"/>
      <c r="Z33" s="518"/>
      <c r="AA33" s="512"/>
    </row>
    <row r="34" spans="1:35" ht="16.5" customHeight="1" x14ac:dyDescent="0.2">
      <c r="A34" s="137"/>
      <c r="B34" s="136"/>
      <c r="C34" s="136"/>
      <c r="D34" s="155" t="s">
        <v>307</v>
      </c>
      <c r="E34" s="151"/>
      <c r="F34" s="139"/>
      <c r="G34" s="91"/>
      <c r="H34" s="91"/>
      <c r="I34" s="51"/>
      <c r="J34" s="51"/>
      <c r="K34" s="51"/>
      <c r="L34" s="51"/>
      <c r="M34" s="51"/>
      <c r="N34" s="51"/>
      <c r="O34" s="51"/>
      <c r="P34" s="51"/>
      <c r="Q34" s="51"/>
      <c r="R34" s="84"/>
      <c r="S34" s="84"/>
      <c r="T34" s="77"/>
      <c r="U34" s="77"/>
      <c r="V34" s="77"/>
      <c r="W34" s="77"/>
      <c r="X34" s="77"/>
      <c r="Y34" s="77"/>
      <c r="Z34" s="518"/>
      <c r="AA34" s="512"/>
    </row>
    <row r="35" spans="1:35" ht="15.75" customHeight="1" x14ac:dyDescent="0.2">
      <c r="A35" s="137"/>
      <c r="B35" s="136"/>
      <c r="C35" s="154"/>
      <c r="D35" s="155" t="str">
        <f>CHOOSE(MODE_UVLO, "Input UVLO Turn-On Threshold", "*Connect EN pin to VIN or Logic HIGH")</f>
        <v>Input UVLO Turn-On Threshold</v>
      </c>
      <c r="E35" s="156">
        <v>11</v>
      </c>
      <c r="F35" s="150" t="s">
        <v>0</v>
      </c>
      <c r="G35" s="91"/>
      <c r="H35" s="91"/>
      <c r="I35" s="84"/>
      <c r="J35" s="84"/>
      <c r="K35" s="84"/>
      <c r="L35" s="216"/>
      <c r="M35" s="51"/>
      <c r="N35" s="51"/>
      <c r="O35" s="51"/>
      <c r="P35" s="51"/>
      <c r="Q35" s="51"/>
      <c r="R35" s="84"/>
      <c r="S35" s="84"/>
      <c r="T35" s="77"/>
      <c r="U35" s="77"/>
      <c r="V35" s="77"/>
      <c r="W35" s="77"/>
      <c r="X35" s="77"/>
      <c r="Y35" s="77"/>
      <c r="Z35" s="518"/>
      <c r="AA35" s="512"/>
    </row>
    <row r="36" spans="1:35" ht="15.75" customHeight="1" thickBot="1" x14ac:dyDescent="0.25">
      <c r="A36" s="140"/>
      <c r="B36" s="157"/>
      <c r="C36" s="157"/>
      <c r="D36" s="440" t="str">
        <f>CHOOSE(MODE_UVLO, "Input UVLO Turn-Off Threshold", "")</f>
        <v>Input UVLO Turn-Off Threshold</v>
      </c>
      <c r="E36" s="441">
        <v>10</v>
      </c>
      <c r="F36" s="442" t="s">
        <v>0</v>
      </c>
      <c r="G36" s="91"/>
      <c r="H36" s="138"/>
      <c r="I36" s="217"/>
      <c r="J36" s="219"/>
      <c r="K36" s="84"/>
      <c r="L36" s="84"/>
      <c r="M36" s="51"/>
      <c r="N36" s="51"/>
      <c r="O36" s="51"/>
      <c r="P36" s="51"/>
      <c r="Q36" s="51"/>
      <c r="R36" s="84"/>
      <c r="S36" s="84"/>
      <c r="T36" s="77"/>
      <c r="U36" s="77"/>
      <c r="V36" s="77"/>
      <c r="W36" s="77"/>
      <c r="X36" s="77"/>
      <c r="Y36" s="77"/>
      <c r="Z36" s="518"/>
      <c r="AA36" s="512"/>
    </row>
    <row r="37" spans="1:35" ht="15.75" customHeight="1" x14ac:dyDescent="0.2">
      <c r="A37" s="465"/>
      <c r="B37" s="136"/>
      <c r="C37" s="154"/>
      <c r="D37" s="138" t="s">
        <v>384</v>
      </c>
      <c r="E37" s="590">
        <f>'Variable Mgmt'!F149</f>
        <v>127</v>
      </c>
      <c r="F37" s="139" t="s">
        <v>21</v>
      </c>
      <c r="G37" s="91"/>
      <c r="H37" s="221"/>
      <c r="I37" s="152"/>
      <c r="J37" s="601"/>
      <c r="K37" s="220"/>
      <c r="L37" s="84"/>
      <c r="M37" s="51"/>
      <c r="N37" s="51"/>
      <c r="O37" s="51"/>
      <c r="P37" s="51"/>
      <c r="Q37" s="51"/>
      <c r="R37" s="84"/>
      <c r="S37" s="84"/>
      <c r="T37" s="77"/>
      <c r="U37" s="77"/>
      <c r="V37" s="77"/>
      <c r="W37" s="77"/>
      <c r="X37" s="77"/>
      <c r="Y37" s="77"/>
      <c r="Z37" s="518"/>
      <c r="AA37" s="512"/>
    </row>
    <row r="38" spans="1:35" ht="15.75" customHeight="1" thickBot="1" x14ac:dyDescent="0.25">
      <c r="A38" s="140"/>
      <c r="B38" s="157"/>
      <c r="C38" s="157"/>
      <c r="D38" s="519" t="s">
        <v>295</v>
      </c>
      <c r="E38" s="520">
        <f>'Variable Mgmt'!F150</f>
        <v>20</v>
      </c>
      <c r="F38" s="142" t="s">
        <v>21</v>
      </c>
      <c r="G38" s="91"/>
      <c r="H38" s="91"/>
      <c r="I38" s="84"/>
      <c r="J38" s="218"/>
      <c r="K38" s="84"/>
      <c r="L38" s="84"/>
      <c r="M38" s="51"/>
      <c r="N38" s="51"/>
      <c r="O38" s="51"/>
      <c r="P38" s="51"/>
      <c r="Q38" s="51" t="s">
        <v>78</v>
      </c>
      <c r="R38" s="84"/>
      <c r="S38" s="84"/>
      <c r="T38" s="77"/>
      <c r="U38" s="77"/>
      <c r="V38" s="77"/>
      <c r="W38" s="77"/>
      <c r="X38" s="77"/>
      <c r="Y38" s="77"/>
      <c r="Z38" s="518"/>
      <c r="AA38" s="512"/>
    </row>
    <row r="39" spans="1:35" ht="13.5" customHeight="1" x14ac:dyDescent="0.2">
      <c r="A39" s="465"/>
      <c r="B39" s="521"/>
      <c r="C39" s="521"/>
      <c r="D39" s="522"/>
      <c r="E39" s="523"/>
      <c r="F39" s="524"/>
      <c r="G39" s="91"/>
      <c r="H39" s="91"/>
      <c r="I39" s="51"/>
      <c r="J39" s="76"/>
      <c r="K39" s="51"/>
      <c r="L39" s="51"/>
      <c r="M39" s="51"/>
      <c r="N39" s="51"/>
      <c r="O39" s="51"/>
      <c r="P39" s="51"/>
      <c r="Q39" s="51"/>
      <c r="R39" s="84"/>
      <c r="S39" s="84"/>
      <c r="T39" s="77"/>
      <c r="U39" s="77"/>
      <c r="V39" s="77"/>
      <c r="W39" s="77"/>
      <c r="X39" s="77"/>
      <c r="Y39" s="77"/>
      <c r="Z39" s="518"/>
      <c r="AA39" s="512"/>
    </row>
    <row r="40" spans="1:35" ht="19.5" customHeight="1" thickBot="1" x14ac:dyDescent="0.25">
      <c r="A40" s="466" t="s">
        <v>511</v>
      </c>
      <c r="B40" s="91"/>
      <c r="C40" s="91"/>
      <c r="D40" s="89"/>
      <c r="E40" s="101"/>
      <c r="F40" s="91"/>
      <c r="G40" s="91"/>
      <c r="H40" s="91"/>
      <c r="I40" s="51"/>
      <c r="J40" s="76"/>
      <c r="K40" s="51"/>
      <c r="L40" s="51"/>
      <c r="M40" s="51"/>
      <c r="N40" s="51"/>
      <c r="O40" s="51"/>
      <c r="P40" s="51"/>
      <c r="Q40" s="51"/>
      <c r="R40" s="84"/>
      <c r="S40" s="84"/>
      <c r="T40" s="77"/>
      <c r="U40" s="77"/>
      <c r="V40" s="77"/>
      <c r="W40" s="77"/>
      <c r="X40" s="77"/>
      <c r="Y40" s="77"/>
      <c r="Z40" s="518"/>
      <c r="AA40" s="512"/>
    </row>
    <row r="41" spans="1:35" ht="15.75" customHeight="1" x14ac:dyDescent="0.25">
      <c r="A41" s="586"/>
      <c r="B41" s="513"/>
      <c r="C41" s="513"/>
      <c r="D41" s="587" t="s">
        <v>669</v>
      </c>
      <c r="E41" s="591">
        <v>0.3</v>
      </c>
      <c r="F41" s="588" t="s">
        <v>0</v>
      </c>
      <c r="G41" s="91"/>
      <c r="H41" s="91"/>
      <c r="I41" s="51"/>
      <c r="J41" s="76"/>
      <c r="K41" s="51"/>
      <c r="L41" s="51"/>
      <c r="M41" s="51"/>
      <c r="N41" s="51"/>
      <c r="O41" s="51"/>
      <c r="P41" s="51"/>
      <c r="Q41" s="51"/>
      <c r="R41" s="84"/>
      <c r="S41" s="84"/>
      <c r="T41" s="77"/>
      <c r="U41" s="77"/>
      <c r="V41" s="77"/>
      <c r="W41" s="77"/>
      <c r="X41" s="77"/>
      <c r="Y41" s="77"/>
      <c r="Z41" s="518"/>
      <c r="AA41" s="512"/>
    </row>
    <row r="42" spans="1:35" ht="15.75" customHeight="1" x14ac:dyDescent="0.25">
      <c r="A42" s="432"/>
      <c r="B42" s="77"/>
      <c r="C42" s="77"/>
      <c r="D42" s="648" t="s">
        <v>670</v>
      </c>
      <c r="E42" s="100">
        <v>0.4</v>
      </c>
      <c r="F42" s="437" t="s">
        <v>0</v>
      </c>
      <c r="G42" s="91"/>
      <c r="H42" s="91"/>
      <c r="I42" s="51"/>
      <c r="J42" s="76"/>
      <c r="K42" s="51"/>
      <c r="L42" s="51"/>
      <c r="M42" s="51"/>
      <c r="N42" s="51"/>
      <c r="O42" s="51"/>
      <c r="P42" s="51"/>
      <c r="Q42" s="51"/>
      <c r="R42" s="84"/>
      <c r="S42" s="84"/>
      <c r="T42" s="77"/>
      <c r="U42" s="77"/>
      <c r="V42" s="77"/>
      <c r="W42" s="77"/>
      <c r="X42" s="77"/>
      <c r="Y42" s="77"/>
      <c r="Z42" s="518"/>
      <c r="AA42" s="512"/>
    </row>
    <row r="43" spans="1:35" ht="15.75" customHeight="1" x14ac:dyDescent="0.2">
      <c r="A43" s="90"/>
      <c r="B43" s="136"/>
      <c r="C43" s="136"/>
      <c r="D43" s="155" t="s">
        <v>306</v>
      </c>
      <c r="E43" s="585">
        <v>77</v>
      </c>
      <c r="F43" s="438" t="s">
        <v>84</v>
      </c>
      <c r="G43" s="91"/>
      <c r="H43" s="91"/>
      <c r="I43" s="51"/>
      <c r="J43" s="76"/>
      <c r="K43" s="51"/>
      <c r="L43" s="51"/>
      <c r="M43" s="51"/>
      <c r="N43" s="51"/>
      <c r="O43" s="51"/>
      <c r="P43" s="51"/>
      <c r="Q43" s="51"/>
      <c r="R43" s="84"/>
      <c r="S43" s="84"/>
      <c r="T43" s="77"/>
      <c r="U43" s="77"/>
      <c r="V43" s="77"/>
      <c r="W43" s="77"/>
      <c r="X43" s="77"/>
      <c r="Y43" s="77"/>
      <c r="Z43" s="518"/>
      <c r="AA43" s="512"/>
    </row>
    <row r="44" spans="1:35" ht="15.75" customHeight="1" x14ac:dyDescent="0.25">
      <c r="A44" s="90"/>
      <c r="B44" s="91"/>
      <c r="C44" s="91"/>
      <c r="D44" s="88" t="s">
        <v>522</v>
      </c>
      <c r="E44" s="380">
        <v>55</v>
      </c>
      <c r="F44" s="437" t="s">
        <v>102</v>
      </c>
      <c r="G44" s="91"/>
      <c r="H44" s="91"/>
      <c r="I44" s="51"/>
      <c r="J44" s="51"/>
      <c r="K44" s="51"/>
      <c r="L44" s="51"/>
      <c r="M44" s="51"/>
      <c r="N44" s="51"/>
      <c r="O44" s="51"/>
      <c r="P44" s="51"/>
      <c r="Q44" s="51"/>
      <c r="R44" s="84"/>
      <c r="S44" s="84"/>
      <c r="T44" s="77"/>
      <c r="U44" s="77"/>
      <c r="V44" s="77"/>
      <c r="W44" s="77"/>
      <c r="X44" s="77"/>
      <c r="Y44" s="77"/>
      <c r="Z44" s="518"/>
      <c r="AA44" s="512"/>
    </row>
    <row r="45" spans="1:35" ht="15.75" customHeight="1" x14ac:dyDescent="0.3">
      <c r="A45" s="90"/>
      <c r="B45" s="91"/>
      <c r="C45" s="91"/>
      <c r="D45" s="89" t="s">
        <v>370</v>
      </c>
      <c r="E45" s="376">
        <f>CHOOSE(MODE, 'Calculations - Single'!BM105, 'Calculations - Dual'!BK105)</f>
        <v>203.27409245687218</v>
      </c>
      <c r="F45" s="105" t="s">
        <v>294</v>
      </c>
      <c r="G45" s="91"/>
      <c r="H45" s="91"/>
      <c r="I45" s="51"/>
      <c r="J45" s="51"/>
      <c r="K45" s="51"/>
      <c r="L45" s="51"/>
      <c r="M45" s="51"/>
      <c r="N45" s="51"/>
      <c r="O45" s="51"/>
      <c r="P45" s="51"/>
      <c r="Q45" s="51"/>
      <c r="R45" s="84"/>
      <c r="S45" s="84"/>
      <c r="T45" s="77"/>
      <c r="U45" s="77"/>
      <c r="V45" s="77"/>
      <c r="W45" s="77"/>
      <c r="X45" s="77"/>
      <c r="Y45" s="77"/>
      <c r="Z45" s="518"/>
      <c r="AA45" s="512"/>
    </row>
    <row r="46" spans="1:35" ht="15.75" customHeight="1" thickBot="1" x14ac:dyDescent="0.35">
      <c r="A46" s="103"/>
      <c r="B46" s="104"/>
      <c r="C46" s="104"/>
      <c r="D46" s="379" t="s">
        <v>545</v>
      </c>
      <c r="E46" s="529">
        <f>E44+E45/1000*ThetaJA</f>
        <v>70.652105119179154</v>
      </c>
      <c r="F46" s="439" t="s">
        <v>102</v>
      </c>
      <c r="G46" s="91"/>
      <c r="H46" s="91"/>
      <c r="I46" s="51"/>
      <c r="J46" s="51"/>
      <c r="K46" s="51"/>
      <c r="L46" s="51"/>
      <c r="M46" s="51"/>
      <c r="N46" s="51"/>
      <c r="O46" s="51"/>
      <c r="P46" s="51"/>
      <c r="Q46" s="51"/>
      <c r="R46" s="84"/>
      <c r="S46" s="84"/>
      <c r="T46" s="77"/>
      <c r="U46" s="77"/>
      <c r="V46" s="77"/>
      <c r="W46" s="77"/>
      <c r="X46" s="77"/>
      <c r="Y46" s="77"/>
      <c r="Z46" s="518"/>
      <c r="AA46" s="512"/>
    </row>
    <row r="47" spans="1:35" ht="15.75" customHeight="1" thickBot="1" x14ac:dyDescent="0.25">
      <c r="A47" s="103"/>
      <c r="B47" s="106"/>
      <c r="C47" s="106"/>
      <c r="D47" s="106"/>
      <c r="E47" s="579"/>
      <c r="F47" s="106"/>
      <c r="G47" s="106"/>
      <c r="H47" s="106"/>
      <c r="I47" s="516"/>
      <c r="J47" s="516"/>
      <c r="K47" s="516"/>
      <c r="L47" s="516"/>
      <c r="M47" s="516"/>
      <c r="N47" s="516"/>
      <c r="O47" s="516"/>
      <c r="P47" s="516"/>
      <c r="Q47" s="516"/>
      <c r="R47" s="514"/>
      <c r="S47" s="514"/>
      <c r="T47" s="514"/>
      <c r="U47" s="515"/>
      <c r="V47" s="515"/>
      <c r="W47" s="514"/>
      <c r="X47" s="514"/>
      <c r="Y47" s="514"/>
      <c r="Z47" s="580"/>
      <c r="AA47" s="512"/>
      <c r="AB47" s="24"/>
      <c r="AC47" s="24"/>
      <c r="AD47" s="24"/>
      <c r="AG47" s="24"/>
      <c r="AH47" s="24"/>
      <c r="AI47" s="24"/>
    </row>
    <row r="48" spans="1:35" x14ac:dyDescent="0.2">
      <c r="A48" s="422"/>
      <c r="B48" s="423"/>
      <c r="C48" s="424"/>
      <c r="D48" s="424"/>
      <c r="E48" s="424"/>
      <c r="F48" s="424"/>
      <c r="G48" s="424"/>
      <c r="H48" s="424"/>
      <c r="I48" s="424"/>
      <c r="J48" s="424"/>
      <c r="K48" s="424"/>
      <c r="L48" s="424"/>
      <c r="M48" s="424"/>
      <c r="N48" s="424"/>
      <c r="O48" s="424"/>
      <c r="P48" s="424"/>
      <c r="Q48" s="424"/>
      <c r="R48" s="421"/>
      <c r="S48" s="421"/>
      <c r="T48" s="421"/>
      <c r="U48" s="512"/>
      <c r="V48" s="512"/>
      <c r="W48" s="421"/>
      <c r="X48" s="421"/>
      <c r="Y48" s="421"/>
      <c r="Z48" s="512"/>
      <c r="AA48" s="512"/>
      <c r="AB48" s="24"/>
      <c r="AC48" s="24"/>
      <c r="AD48" s="24"/>
      <c r="AG48" s="24"/>
      <c r="AH48" s="24"/>
      <c r="AI48" s="24"/>
    </row>
    <row r="49" spans="1:35" x14ac:dyDescent="0.2">
      <c r="A49" s="47"/>
      <c r="B49" s="47"/>
      <c r="C49" s="47"/>
      <c r="D49" s="47"/>
      <c r="E49" s="47"/>
      <c r="F49" s="47"/>
      <c r="G49" s="47"/>
      <c r="H49" s="47"/>
      <c r="I49" s="47"/>
      <c r="J49" s="47"/>
      <c r="K49" s="47"/>
      <c r="L49" s="47"/>
      <c r="M49" s="47"/>
      <c r="N49" s="47"/>
      <c r="O49" s="47"/>
      <c r="P49" s="47"/>
      <c r="Q49" s="47"/>
      <c r="R49" s="24"/>
      <c r="S49" s="24"/>
      <c r="T49" s="24"/>
      <c r="W49" s="24"/>
      <c r="X49" s="24"/>
      <c r="Y49" s="24"/>
      <c r="AB49" s="24"/>
      <c r="AC49" s="24"/>
      <c r="AD49" s="24"/>
      <c r="AG49" s="24"/>
      <c r="AH49" s="24"/>
      <c r="AI49" s="24"/>
    </row>
    <row r="50" spans="1:35" x14ac:dyDescent="0.2">
      <c r="B50" s="47"/>
      <c r="C50" s="47"/>
      <c r="D50" s="47"/>
      <c r="E50" s="47"/>
      <c r="F50" s="47"/>
      <c r="G50" s="47"/>
      <c r="H50" s="47"/>
      <c r="I50" s="47"/>
      <c r="J50" s="47"/>
      <c r="K50" s="47"/>
      <c r="L50" s="47"/>
      <c r="R50" s="24"/>
      <c r="S50" s="24"/>
      <c r="T50" s="24"/>
      <c r="W50" s="24"/>
      <c r="X50" s="24"/>
      <c r="Y50" s="24"/>
      <c r="AB50" s="24"/>
      <c r="AC50" s="24"/>
      <c r="AD50" s="24"/>
      <c r="AG50" s="24"/>
      <c r="AH50" s="24"/>
      <c r="AI50" s="24"/>
    </row>
    <row r="51" spans="1:35" x14ac:dyDescent="0.2">
      <c r="B51" s="47"/>
      <c r="C51" s="47"/>
      <c r="D51" s="47"/>
      <c r="E51" s="47"/>
      <c r="F51" s="47"/>
      <c r="G51" s="47"/>
      <c r="H51" s="47"/>
      <c r="I51" s="47"/>
      <c r="J51" s="47"/>
      <c r="K51" s="47"/>
      <c r="L51" s="47"/>
      <c r="R51" s="24"/>
      <c r="S51" s="24"/>
      <c r="T51" s="24"/>
      <c r="W51" s="24"/>
      <c r="X51" s="24"/>
      <c r="Y51" s="24"/>
      <c r="AB51" s="24"/>
      <c r="AC51" s="24"/>
      <c r="AD51" s="24"/>
      <c r="AG51" s="24"/>
      <c r="AH51" s="24"/>
      <c r="AI51" s="24"/>
    </row>
    <row r="52" spans="1:35" x14ac:dyDescent="0.2">
      <c r="B52" s="47"/>
      <c r="C52" s="47"/>
      <c r="D52" s="47"/>
      <c r="E52" s="47"/>
      <c r="F52" s="47"/>
      <c r="G52" s="47"/>
      <c r="H52" s="47"/>
      <c r="I52" s="47"/>
      <c r="J52" s="47"/>
      <c r="K52" s="47"/>
      <c r="L52" s="47"/>
      <c r="R52" s="24"/>
      <c r="S52" s="24"/>
      <c r="T52" s="24"/>
      <c r="W52" s="24"/>
      <c r="X52" s="24"/>
      <c r="Y52" s="24"/>
      <c r="AB52" s="24"/>
      <c r="AC52" s="24"/>
      <c r="AD52" s="24"/>
      <c r="AG52" s="24"/>
      <c r="AH52" s="24"/>
      <c r="AI52" s="24"/>
    </row>
    <row r="53" spans="1:35" x14ac:dyDescent="0.2">
      <c r="B53" s="47"/>
      <c r="C53" s="47"/>
      <c r="D53" s="47"/>
      <c r="E53" s="47"/>
      <c r="F53" s="47"/>
      <c r="G53" s="47"/>
      <c r="H53" s="47"/>
      <c r="I53" s="47"/>
      <c r="J53" s="47"/>
      <c r="K53" s="47"/>
      <c r="L53" s="47"/>
      <c r="R53" s="24"/>
      <c r="S53" s="24"/>
      <c r="T53" s="24"/>
      <c r="W53" s="24"/>
      <c r="X53" s="24"/>
      <c r="Y53" s="24"/>
      <c r="AB53" s="24"/>
      <c r="AC53" s="24"/>
      <c r="AD53" s="24"/>
      <c r="AG53" s="24"/>
      <c r="AH53" s="24"/>
      <c r="AI53" s="24"/>
    </row>
  </sheetData>
  <sheetProtection password="CCC8" sheet="1" objects="1" scenarios="1" selectLockedCells="1"/>
  <phoneticPr fontId="6" type="noConversion"/>
  <conditionalFormatting sqref="E6:E8">
    <cfRule type="cellIs" dxfId="59" priority="101" stopIfTrue="1" operator="notBetween">
      <formula>65</formula>
      <formula>4.5</formula>
    </cfRule>
  </conditionalFormatting>
  <conditionalFormatting sqref="E10">
    <cfRule type="cellIs" dxfId="58" priority="98" stopIfTrue="1" operator="notBetween">
      <formula>-200</formula>
      <formula>200</formula>
    </cfRule>
  </conditionalFormatting>
  <conditionalFormatting sqref="E21">
    <cfRule type="cellIs" dxfId="57" priority="95" stopIfTrue="1" operator="lessThan">
      <formula>$E$20</formula>
    </cfRule>
  </conditionalFormatting>
  <conditionalFormatting sqref="E17">
    <cfRule type="cellIs" dxfId="56" priority="91" stopIfTrue="1" operator="lessThan">
      <formula>$E$16</formula>
    </cfRule>
  </conditionalFormatting>
  <conditionalFormatting sqref="E18">
    <cfRule type="cellIs" dxfId="55" priority="90" stopIfTrue="1" operator="equal">
      <formula>0</formula>
    </cfRule>
  </conditionalFormatting>
  <conditionalFormatting sqref="E35">
    <cfRule type="cellIs" dxfId="54" priority="87" operator="notBetween">
      <formula>65</formula>
      <formula>4.5</formula>
    </cfRule>
  </conditionalFormatting>
  <conditionalFormatting sqref="E29">
    <cfRule type="cellIs" dxfId="53" priority="85" operator="lessThan">
      <formula>6</formula>
    </cfRule>
  </conditionalFormatting>
  <conditionalFormatting sqref="F14">
    <cfRule type="expression" dxfId="52" priority="74">
      <formula>(MODE=2)</formula>
    </cfRule>
  </conditionalFormatting>
  <conditionalFormatting sqref="E29:F29">
    <cfRule type="expression" dxfId="51" priority="69">
      <formula>OR(MODE_SS=2,MODE_SS=3)</formula>
    </cfRule>
  </conditionalFormatting>
  <conditionalFormatting sqref="D29">
    <cfRule type="expression" dxfId="50" priority="68">
      <formula>OR(MODE_SS=2,MODE_SS=3)</formula>
    </cfRule>
  </conditionalFormatting>
  <conditionalFormatting sqref="D30:F30">
    <cfRule type="expression" dxfId="49" priority="67">
      <formula>OR(MODE_SS=2,MODE_SS=3)</formula>
    </cfRule>
  </conditionalFormatting>
  <conditionalFormatting sqref="D35">
    <cfRule type="expression" dxfId="48" priority="65">
      <formula>MODE_UVLO=2</formula>
    </cfRule>
  </conditionalFormatting>
  <conditionalFormatting sqref="C37:F39 E35:F36">
    <cfRule type="expression" dxfId="47" priority="39">
      <formula>MODE_UVLO=2</formula>
    </cfRule>
  </conditionalFormatting>
  <conditionalFormatting sqref="D36">
    <cfRule type="expression" dxfId="46" priority="62">
      <formula>MODE_UVLO=2</formula>
    </cfRule>
  </conditionalFormatting>
  <conditionalFormatting sqref="E46">
    <cfRule type="cellIs" dxfId="45" priority="47" operator="notBetween">
      <formula>-40</formula>
      <formula>150</formula>
    </cfRule>
  </conditionalFormatting>
  <conditionalFormatting sqref="E44">
    <cfRule type="cellIs" dxfId="44" priority="46" operator="notBetween">
      <formula>-40</formula>
      <formula>150</formula>
    </cfRule>
  </conditionalFormatting>
  <conditionalFormatting sqref="F20">
    <cfRule type="cellIs" dxfId="43" priority="45" stopIfTrue="1" operator="lessThanOrEqual">
      <formula>0</formula>
    </cfRule>
  </conditionalFormatting>
  <conditionalFormatting sqref="A36:F36">
    <cfRule type="expression" dxfId="42" priority="29">
      <formula>MODE_UVLO=1</formula>
    </cfRule>
  </conditionalFormatting>
  <conditionalFormatting sqref="A39:F39">
    <cfRule type="expression" dxfId="41" priority="38">
      <formula>MODE_UVLO=2</formula>
    </cfRule>
  </conditionalFormatting>
  <conditionalFormatting sqref="F37:F38">
    <cfRule type="expression" dxfId="40" priority="37">
      <formula>MODE_UVLO=2</formula>
    </cfRule>
  </conditionalFormatting>
  <conditionalFormatting sqref="E36">
    <cfRule type="cellIs" dxfId="39" priority="63" operator="notBetween">
      <formula>3.5</formula>
      <formula>$E$35</formula>
    </cfRule>
  </conditionalFormatting>
  <conditionalFormatting sqref="F16">
    <cfRule type="cellIs" dxfId="38" priority="27" stopIfTrue="1" operator="lessThanOrEqual">
      <formula>0</formula>
    </cfRule>
  </conditionalFormatting>
  <conditionalFormatting sqref="E11">
    <cfRule type="cellIs" dxfId="37" priority="26" operator="between">
      <formula>-0.0099</formula>
      <formula>0.0099</formula>
    </cfRule>
  </conditionalFormatting>
  <conditionalFormatting sqref="E11">
    <cfRule type="expression" dxfId="36" priority="53">
      <formula>"Iout&gt;2"</formula>
    </cfRule>
  </conditionalFormatting>
  <conditionalFormatting sqref="J37">
    <cfRule type="cellIs" dxfId="35" priority="109" stopIfTrue="1" operator="notBetween">
      <formula>600</formula>
      <formula>50</formula>
    </cfRule>
    <cfRule type="cellIs" dxfId="34" priority="110" stopIfTrue="1" operator="greaterThan">
      <formula>$E$9</formula>
    </cfRule>
  </conditionalFormatting>
  <conditionalFormatting sqref="E12">
    <cfRule type="cellIs" dxfId="33" priority="25" operator="notBetween">
      <formula>-200</formula>
      <formula>200</formula>
    </cfRule>
  </conditionalFormatting>
  <conditionalFormatting sqref="E13">
    <cfRule type="cellIs" dxfId="32" priority="23" operator="between">
      <formula>-0.0099</formula>
      <formula>0.0099</formula>
    </cfRule>
  </conditionalFormatting>
  <conditionalFormatting sqref="E13">
    <cfRule type="expression" dxfId="31" priority="24">
      <formula>Iout2 &gt; 2</formula>
    </cfRule>
  </conditionalFormatting>
  <conditionalFormatting sqref="E22">
    <cfRule type="cellIs" dxfId="30" priority="19" stopIfTrue="1" operator="equal">
      <formula>0</formula>
    </cfRule>
  </conditionalFormatting>
  <conditionalFormatting sqref="D32">
    <cfRule type="expression" dxfId="29" priority="14">
      <formula>OR(TC=2)</formula>
    </cfRule>
  </conditionalFormatting>
  <conditionalFormatting sqref="D33:F33 E32:F32">
    <cfRule type="expression" dxfId="28" priority="13">
      <formula>OR(TC=2)</formula>
    </cfRule>
  </conditionalFormatting>
  <conditionalFormatting sqref="L22">
    <cfRule type="cellIs" dxfId="27" priority="7" stopIfTrue="1" operator="equal">
      <formula>0</formula>
    </cfRule>
  </conditionalFormatting>
  <conditionalFormatting sqref="L21">
    <cfRule type="cellIs" dxfId="26" priority="9" stopIfTrue="1" operator="lessThan">
      <formula>$L$20</formula>
    </cfRule>
  </conditionalFormatting>
  <conditionalFormatting sqref="M20">
    <cfRule type="cellIs" dxfId="25" priority="8" stopIfTrue="1" operator="lessThanOrEqual">
      <formula>0</formula>
    </cfRule>
  </conditionalFormatting>
  <hyperlinks>
    <hyperlink ref="C3" r:id="rId1"/>
  </hyperlinks>
  <printOptions horizontalCentered="1" verticalCentered="1"/>
  <pageMargins left="0.1" right="0.1" top="0.1" bottom="0.1" header="0.25" footer="0.25"/>
  <pageSetup scale="61" orientation="landscape" r:id="rId2"/>
  <headerFooter alignWithMargins="0"/>
  <rowBreaks count="1" manualBreakCount="1">
    <brk id="48"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672895" r:id="rId6" name="Spinner 127">
              <controlPr defaultSize="0" autoPict="0">
                <anchor moveWithCells="1" sizeWithCells="1">
                  <from>
                    <xdr:col>5</xdr:col>
                    <xdr:colOff>123825</xdr:colOff>
                    <xdr:row>6</xdr:row>
                    <xdr:rowOff>9525</xdr:rowOff>
                  </from>
                  <to>
                    <xdr:col>5</xdr:col>
                    <xdr:colOff>304800</xdr:colOff>
                    <xdr:row>7</xdr:row>
                    <xdr:rowOff>28575</xdr:rowOff>
                  </to>
                </anchor>
              </controlPr>
            </control>
          </mc:Choice>
        </mc:AlternateContent>
        <mc:AlternateContent xmlns:mc="http://schemas.openxmlformats.org/markup-compatibility/2006">
          <mc:Choice Requires="x14">
            <control shapeId="672935" r:id="rId7" name="Drop Down 167">
              <controlPr defaultSize="0" autoLine="0" autoPict="0">
                <anchor moveWithCells="1">
                  <from>
                    <xdr:col>4</xdr:col>
                    <xdr:colOff>9525</xdr:colOff>
                    <xdr:row>27</xdr:row>
                    <xdr:rowOff>0</xdr:rowOff>
                  </from>
                  <to>
                    <xdr:col>5</xdr:col>
                    <xdr:colOff>276225</xdr:colOff>
                    <xdr:row>28</xdr:row>
                    <xdr:rowOff>28575</xdr:rowOff>
                  </to>
                </anchor>
              </controlPr>
            </control>
          </mc:Choice>
        </mc:AlternateContent>
        <mc:AlternateContent xmlns:mc="http://schemas.openxmlformats.org/markup-compatibility/2006">
          <mc:Choice Requires="x14">
            <control shapeId="673043" r:id="rId8" name="Drop Down 275">
              <controlPr defaultSize="0" autoLine="0" autoPict="0">
                <anchor moveWithCells="1">
                  <from>
                    <xdr:col>4</xdr:col>
                    <xdr:colOff>9525</xdr:colOff>
                    <xdr:row>33</xdr:row>
                    <xdr:rowOff>0</xdr:rowOff>
                  </from>
                  <to>
                    <xdr:col>5</xdr:col>
                    <xdr:colOff>257175</xdr:colOff>
                    <xdr:row>33</xdr:row>
                    <xdr:rowOff>200025</xdr:rowOff>
                  </to>
                </anchor>
              </controlPr>
            </control>
          </mc:Choice>
        </mc:AlternateContent>
        <mc:AlternateContent xmlns:mc="http://schemas.openxmlformats.org/markup-compatibility/2006">
          <mc:Choice Requires="x14">
            <control shapeId="697343" r:id="rId9" name="Drop Down 3071">
              <controlPr defaultSize="0" autoLine="0" autoPict="0">
                <anchor moveWithCells="1">
                  <from>
                    <xdr:col>11</xdr:col>
                    <xdr:colOff>9525</xdr:colOff>
                    <xdr:row>11</xdr:row>
                    <xdr:rowOff>0</xdr:rowOff>
                  </from>
                  <to>
                    <xdr:col>12</xdr:col>
                    <xdr:colOff>66675</xdr:colOff>
                    <xdr:row>12</xdr:row>
                    <xdr:rowOff>9525</xdr:rowOff>
                  </to>
                </anchor>
              </controlPr>
            </control>
          </mc:Choice>
        </mc:AlternateContent>
        <mc:AlternateContent xmlns:mc="http://schemas.openxmlformats.org/markup-compatibility/2006">
          <mc:Choice Requires="x14">
            <control shapeId="714798" r:id="rId10" name="Drop Down 3118">
              <controlPr defaultSize="0" autoLine="0" autoPict="0">
                <anchor moveWithCells="1">
                  <from>
                    <xdr:col>4</xdr:col>
                    <xdr:colOff>0</xdr:colOff>
                    <xdr:row>30</xdr:row>
                    <xdr:rowOff>9525</xdr:rowOff>
                  </from>
                  <to>
                    <xdr:col>5</xdr:col>
                    <xdr:colOff>266700</xdr:colOff>
                    <xdr:row>31</xdr:row>
                    <xdr:rowOff>9525</xdr:rowOff>
                  </to>
                </anchor>
              </controlPr>
            </control>
          </mc:Choice>
        </mc:AlternateContent>
        <mc:AlternateContent xmlns:mc="http://schemas.openxmlformats.org/markup-compatibility/2006">
          <mc:Choice Requires="x14">
            <control shapeId="715085" r:id="rId11"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9" id="{2F97F2FF-95A0-40C5-B045-6ADA68EA7C2F}">
            <xm:f>'Variable Mgmt'!$B$52</xm:f>
            <x14:dxf>
              <font>
                <strike val="0"/>
                <color theme="0"/>
              </font>
              <fill>
                <patternFill>
                  <bgColor theme="0"/>
                </patternFill>
              </fill>
            </x14:dxf>
          </x14:cfRule>
          <xm:sqref>E12:E13</xm:sqref>
        </x14:conditionalFormatting>
        <x14:conditionalFormatting xmlns:xm="http://schemas.microsoft.com/office/excel/2006/main">
          <x14:cfRule type="expression" priority="141" id="{9B976DD7-FFA8-454F-A63D-186A721FDF9C}">
            <xm:f>'Variable Mgmt'!$B$52</xm:f>
            <x14:dxf>
              <border>
                <bottom/>
                <vertical/>
                <horizontal/>
              </border>
            </x14:dxf>
          </x14:cfRule>
          <xm:sqref>A12:F13</xm:sqref>
        </x14:conditionalFormatting>
        <x14:conditionalFormatting xmlns:xm="http://schemas.microsoft.com/office/excel/2006/main">
          <x14:cfRule type="expression" priority="142" id="{25C53C6F-CE07-4419-8FCF-F6B8FCD8434A}">
            <xm:f>'Variable Mgmt'!$B$52</xm:f>
            <x14:dxf>
              <border>
                <right/>
                <vertical/>
                <horizontal/>
              </border>
            </x14:dxf>
          </x14:cfRule>
          <xm:sqref>F12:F13</xm:sqref>
        </x14:conditionalFormatting>
        <x14:conditionalFormatting xmlns:xm="http://schemas.microsoft.com/office/excel/2006/main">
          <x14:cfRule type="expression" priority="12" id="{56BB0655-3B2C-4E9D-AD05-7700A46C30F4}">
            <xm:f>'Variable Mgmt'!$B$52=FALSE</xm:f>
            <x14:dxf>
              <border>
                <bottom/>
                <vertical/>
                <horizontal/>
              </border>
            </x14:dxf>
          </x14:cfRule>
          <xm:sqref>A12:F12</xm:sqref>
        </x14:conditionalFormatting>
        <x14:conditionalFormatting xmlns:xm="http://schemas.microsoft.com/office/excel/2006/main">
          <x14:cfRule type="expression" priority="11" id="{7DE853EF-1754-4C48-A140-FF26B3EC5CF8}">
            <xm:f>'Variable Mgmt'!$B$52=FALSE</xm:f>
            <x14:dxf>
              <border>
                <bottom/>
                <vertical/>
                <horizontal/>
              </border>
            </x14:dxf>
          </x14:cfRule>
          <xm:sqref>A11:F11</xm:sqref>
        </x14:conditionalFormatting>
        <x14:conditionalFormatting xmlns:xm="http://schemas.microsoft.com/office/excel/2006/main">
          <x14:cfRule type="expression" priority="6" id="{18CE8F81-B526-43C7-B5F1-BAA9C73809CD}">
            <xm:f>'Variable Mgmt'!$B$52=TRUE</xm:f>
            <x14:dxf>
              <font>
                <color theme="0"/>
              </font>
              <fill>
                <patternFill>
                  <bgColor theme="0"/>
                </patternFill>
              </fill>
              <border>
                <right/>
                <top/>
                <bottom/>
              </border>
            </x14:dxf>
          </x14:cfRule>
          <xm:sqref>K20:M23</xm:sqref>
        </x14:conditionalFormatting>
        <x14:conditionalFormatting xmlns:xm="http://schemas.microsoft.com/office/excel/2006/main">
          <x14:cfRule type="expression" priority="5" id="{B42E45EE-F49B-4512-9DB9-8B85B95C6919}">
            <xm:f>'Variable Mgmt'!$B$52=TRUE</xm:f>
            <x14:dxf>
              <border>
                <left/>
                <right/>
                <top/>
                <bottom/>
                <vertical/>
                <horizontal/>
              </border>
            </x14:dxf>
          </x14:cfRule>
          <xm:sqref>H20:J23</xm:sqref>
        </x14:conditionalFormatting>
        <x14:conditionalFormatting xmlns:xm="http://schemas.microsoft.com/office/excel/2006/main">
          <x14:cfRule type="expression" priority="4" id="{8076779E-531E-4945-9FF1-9C72CDB0D6DC}">
            <xm:f>'Variable Mgmt'!$B$52=TRUE</xm:f>
            <x14:dxf>
              <border>
                <top/>
                <bottom/>
                <vertical/>
                <horizontal/>
              </border>
            </x14:dxf>
          </x14:cfRule>
          <xm:sqref>G21:G22</xm:sqref>
        </x14:conditionalFormatting>
        <x14:conditionalFormatting xmlns:xm="http://schemas.microsoft.com/office/excel/2006/main">
          <x14:cfRule type="expression" priority="145" id="{2E385B5D-C8C9-48C7-B4AE-E1A8F27EB6E6}">
            <xm:f>AND('Variable Mgmt'!#REF!&gt;'Variable Mgmt'!$B$56*1/1000, MODE=1)</xm:f>
            <x14:dxf>
              <font>
                <color rgb="FFFF0000"/>
              </font>
            </x14:dxf>
          </x14:cfRule>
          <xm:sqref>L7</xm:sqref>
        </x14:conditionalFormatting>
        <x14:conditionalFormatting xmlns:xm="http://schemas.microsoft.com/office/excel/2006/main">
          <x14:cfRule type="expression" priority="146" id="{EE277573-B7FD-4D2F-97C3-CC46EAD89E7B}">
            <xm:f>AND('Variable Mgmt'!#REF!&gt;'Variable Mgmt'!$B$56*1/1000, MODE=1)</xm:f>
            <x14:dxf>
              <font>
                <b/>
                <i val="0"/>
                <color rgb="FFFF0000"/>
              </font>
            </x14:dxf>
          </x14:cfRule>
          <xm:sqref>L12</xm:sqref>
        </x14:conditionalFormatting>
        <x14:conditionalFormatting xmlns:xm="http://schemas.microsoft.com/office/excel/2006/main">
          <x14:cfRule type="expression" priority="3" id="{DA50B535-B6B5-4DFB-9CBC-C505A48C7EB5}">
            <xm:f>'Variable Mgmt'!$B$52=TRUE</xm:f>
            <x14:dxf>
              <font>
                <color theme="0"/>
              </font>
              <fill>
                <patternFill>
                  <bgColor theme="0"/>
                </patternFill>
              </fill>
            </x14:dxf>
          </x14:cfRule>
          <xm:sqref>L10</xm:sqref>
        </x14:conditionalFormatting>
        <x14:conditionalFormatting xmlns:xm="http://schemas.microsoft.com/office/excel/2006/main">
          <x14:cfRule type="expression" priority="2" id="{FB76FAF3-E114-4E5D-9585-0FED8547CF75}">
            <xm:f>'Variable Mgmt'!$D$38=TRUE</xm:f>
            <x14:dxf>
              <font>
                <color theme="0"/>
              </font>
              <fill>
                <patternFill patternType="solid">
                  <fgColor auto="1"/>
                  <bgColor rgb="FFFF0000"/>
                </patternFill>
              </fill>
            </x14:dxf>
          </x14:cfRule>
          <xm:sqref>L15:M15</xm:sqref>
        </x14:conditionalFormatting>
        <x14:conditionalFormatting xmlns:xm="http://schemas.microsoft.com/office/excel/2006/main">
          <x14:cfRule type="expression" priority="1" id="{2E35C64D-1122-4B17-B495-E52D781938E1}">
            <xm:f>'Variable Mgmt'!$D$61=TRUE</xm:f>
            <x14:dxf>
              <font>
                <strike val="0"/>
                <color theme="0"/>
              </font>
              <fill>
                <patternFill>
                  <bgColor rgb="FFFF0000"/>
                </patternFill>
              </fill>
            </x14:dxf>
          </x14:cfRule>
          <xm:sqref>L14:M14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2:B7"/>
  <sheetViews>
    <sheetView topLeftCell="A7" zoomScaleNormal="100" workbookViewId="0">
      <selection activeCell="B12" sqref="B12"/>
    </sheetView>
  </sheetViews>
  <sheetFormatPr defaultRowHeight="12.75" x14ac:dyDescent="0.2"/>
  <cols>
    <col min="2" max="2" width="126.42578125" customWidth="1"/>
  </cols>
  <sheetData>
    <row r="2" spans="1:2" ht="17.25" customHeight="1" x14ac:dyDescent="0.2">
      <c r="A2" s="78" t="str">
        <f>CHOOSE(MODE, "Fsw_SINGLE", "Fsw_DUAL")</f>
        <v>Fsw_SINGLE</v>
      </c>
    </row>
    <row r="5" spans="1:2" ht="409.5" customHeight="1" x14ac:dyDescent="0.2">
      <c r="B5" s="366"/>
    </row>
    <row r="6" spans="1:2" ht="17.100000000000001" customHeight="1" x14ac:dyDescent="0.2"/>
    <row r="7" spans="1:2" ht="409.5" customHeight="1" x14ac:dyDescent="0.2">
      <c r="B7" s="366"/>
    </row>
  </sheetData>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2:T67"/>
  <sheetViews>
    <sheetView topLeftCell="C8" zoomScaleNormal="100" zoomScaleSheetLayoutView="145" workbookViewId="0">
      <selection activeCell="H21" sqref="H21"/>
    </sheetView>
  </sheetViews>
  <sheetFormatPr defaultRowHeight="12.75" x14ac:dyDescent="0.2"/>
  <cols>
    <col min="1" max="1" width="12.7109375" style="366" customWidth="1"/>
    <col min="2" max="2" width="124.7109375" style="12" customWidth="1"/>
    <col min="3" max="4" width="9.140625" style="366"/>
    <col min="5" max="5" width="124.7109375" style="8" customWidth="1"/>
    <col min="8" max="8" width="124.7109375" style="367" customWidth="1"/>
  </cols>
  <sheetData>
    <row r="2" spans="1:15" x14ac:dyDescent="0.2">
      <c r="A2" s="366" t="str">
        <f>'Variable Mgmt'!K44</f>
        <v>SCH_SINGLE_UVLOadj_SSint_TCyes</v>
      </c>
    </row>
    <row r="5" spans="1:15" s="366" customFormat="1" ht="13.5" customHeight="1" x14ac:dyDescent="0.2">
      <c r="E5" s="367"/>
      <c r="H5" s="367"/>
    </row>
    <row r="6" spans="1:15" s="366" customFormat="1" ht="16.5" customHeight="1" x14ac:dyDescent="0.2">
      <c r="E6" s="367"/>
      <c r="H6" s="367"/>
    </row>
    <row r="7" spans="1:15" ht="357" customHeight="1" x14ac:dyDescent="0.2">
      <c r="B7" s="13"/>
      <c r="E7" s="394"/>
      <c r="F7" s="12"/>
      <c r="G7" s="12"/>
      <c r="I7" s="12"/>
      <c r="J7" s="12"/>
      <c r="K7" s="12"/>
      <c r="L7" s="12"/>
      <c r="M7" s="12"/>
      <c r="N7" s="12"/>
    </row>
    <row r="8" spans="1:15" s="366" customFormat="1" ht="17.25" customHeight="1" x14ac:dyDescent="0.2">
      <c r="B8" s="367"/>
      <c r="E8" s="367"/>
      <c r="H8" s="367"/>
      <c r="O8" s="368"/>
    </row>
    <row r="9" spans="1:15" ht="357" customHeight="1" x14ac:dyDescent="0.2">
      <c r="B9" s="113"/>
      <c r="D9" s="367"/>
      <c r="E9" s="394"/>
      <c r="F9" s="366"/>
      <c r="G9" s="12"/>
      <c r="I9" s="12"/>
      <c r="J9" s="12"/>
      <c r="K9" s="12"/>
      <c r="L9" s="12"/>
      <c r="M9" s="12"/>
      <c r="N9" s="12"/>
      <c r="O9" s="369"/>
    </row>
    <row r="10" spans="1:15" s="366" customFormat="1" x14ac:dyDescent="0.2">
      <c r="E10" s="367"/>
      <c r="H10" s="367"/>
    </row>
    <row r="11" spans="1:15" ht="357" customHeight="1" x14ac:dyDescent="0.2">
      <c r="B11" s="394"/>
      <c r="D11" s="367"/>
      <c r="E11" s="367"/>
      <c r="F11" s="366"/>
      <c r="G11" s="12"/>
      <c r="I11" s="12"/>
      <c r="J11" s="12"/>
      <c r="K11" s="12"/>
      <c r="L11" s="12"/>
      <c r="M11" s="12"/>
      <c r="N11" s="12"/>
      <c r="O11" s="369"/>
    </row>
    <row r="12" spans="1:15" x14ac:dyDescent="0.2">
      <c r="B12" s="366"/>
      <c r="E12" s="367"/>
      <c r="F12" s="366"/>
      <c r="G12" s="12"/>
      <c r="I12" s="12"/>
      <c r="J12" s="12"/>
      <c r="K12" s="12"/>
      <c r="L12" s="12"/>
      <c r="M12" s="12"/>
      <c r="N12" s="12"/>
    </row>
    <row r="13" spans="1:15" ht="357" customHeight="1" x14ac:dyDescent="0.2">
      <c r="B13" s="394"/>
      <c r="E13" s="367"/>
      <c r="F13" s="366"/>
      <c r="G13" s="12"/>
      <c r="I13" s="12"/>
      <c r="J13" s="12"/>
      <c r="K13" s="12"/>
      <c r="L13" s="12"/>
      <c r="M13" s="12"/>
      <c r="N13" s="12"/>
      <c r="O13" s="369"/>
    </row>
    <row r="14" spans="1:15" x14ac:dyDescent="0.2">
      <c r="B14" s="366"/>
      <c r="E14" s="367"/>
      <c r="F14" s="366"/>
      <c r="G14" s="12"/>
      <c r="I14" s="12"/>
      <c r="J14" s="12"/>
      <c r="K14" s="12"/>
      <c r="L14" s="12"/>
      <c r="M14" s="12"/>
      <c r="N14" s="12"/>
    </row>
    <row r="15" spans="1:15" ht="357" customHeight="1" x14ac:dyDescent="0.2">
      <c r="E15" s="367"/>
      <c r="F15" s="366"/>
      <c r="G15" s="12"/>
      <c r="I15" s="12"/>
      <c r="J15" s="12"/>
      <c r="K15" s="12"/>
      <c r="L15" s="12"/>
      <c r="M15" s="12"/>
      <c r="N15" s="12"/>
      <c r="O15" s="369"/>
    </row>
    <row r="16" spans="1:15" x14ac:dyDescent="0.2">
      <c r="B16" s="366"/>
      <c r="E16" s="367"/>
      <c r="F16" s="12"/>
      <c r="G16" s="12"/>
      <c r="I16" s="12"/>
      <c r="J16" s="12"/>
      <c r="K16" s="12"/>
      <c r="L16" s="12"/>
      <c r="M16" s="12"/>
      <c r="N16" s="12"/>
    </row>
    <row r="17" spans="2:15" ht="357" customHeight="1" x14ac:dyDescent="0.2">
      <c r="B17" s="394"/>
      <c r="E17" s="367"/>
      <c r="F17" s="366"/>
      <c r="G17" s="12"/>
      <c r="I17" s="12"/>
      <c r="J17" s="12"/>
      <c r="K17" s="12"/>
      <c r="L17" s="12"/>
      <c r="M17" s="12"/>
      <c r="N17" s="12"/>
      <c r="O17" s="369"/>
    </row>
    <row r="18" spans="2:15" ht="12" customHeight="1" x14ac:dyDescent="0.2">
      <c r="B18" s="366"/>
      <c r="E18" s="367"/>
      <c r="F18" s="12"/>
      <c r="G18" s="12"/>
      <c r="I18" s="12"/>
      <c r="J18" s="12"/>
      <c r="K18" s="12"/>
      <c r="L18" s="12"/>
      <c r="M18" s="12"/>
      <c r="N18" s="12"/>
    </row>
    <row r="19" spans="2:15" ht="357" customHeight="1" x14ac:dyDescent="0.2">
      <c r="B19" s="366"/>
      <c r="E19" s="367"/>
      <c r="F19" s="12"/>
      <c r="G19" s="12"/>
      <c r="I19" s="12"/>
      <c r="J19" s="12"/>
      <c r="K19" s="12"/>
      <c r="L19" s="12"/>
      <c r="M19" s="12"/>
      <c r="N19" s="12"/>
    </row>
    <row r="20" spans="2:15" ht="13.5" customHeight="1" x14ac:dyDescent="0.2">
      <c r="B20" s="366"/>
      <c r="E20" s="367"/>
      <c r="F20" s="12"/>
      <c r="G20" s="12"/>
      <c r="I20" s="12"/>
      <c r="J20" s="12"/>
      <c r="K20" s="12"/>
      <c r="L20" s="12"/>
      <c r="M20" s="12"/>
      <c r="N20" s="12"/>
    </row>
    <row r="21" spans="2:15" ht="357" customHeight="1" x14ac:dyDescent="0.2">
      <c r="B21" s="366"/>
      <c r="E21" s="367"/>
      <c r="F21" s="12"/>
      <c r="G21" s="12"/>
      <c r="I21" s="12"/>
      <c r="J21" s="12"/>
      <c r="K21" s="12"/>
      <c r="L21" s="12"/>
      <c r="M21" s="12"/>
      <c r="N21" s="12"/>
    </row>
    <row r="22" spans="2:15" x14ac:dyDescent="0.2">
      <c r="B22" s="366"/>
      <c r="E22" s="367"/>
      <c r="F22" s="12"/>
      <c r="G22" s="12"/>
      <c r="I22" s="12"/>
      <c r="J22" s="12"/>
      <c r="K22" s="12"/>
      <c r="L22" s="12"/>
      <c r="M22" s="12"/>
      <c r="N22" s="12"/>
    </row>
    <row r="23" spans="2:15" ht="357" customHeight="1" x14ac:dyDescent="0.2">
      <c r="B23" s="366"/>
      <c r="E23" s="367"/>
      <c r="F23" s="12"/>
      <c r="G23" s="12"/>
      <c r="I23" s="12"/>
      <c r="J23" s="12"/>
      <c r="K23" s="12"/>
      <c r="L23" s="12"/>
      <c r="M23" s="12"/>
      <c r="N23" s="12"/>
    </row>
    <row r="24" spans="2:15" x14ac:dyDescent="0.2">
      <c r="B24" s="366"/>
      <c r="E24" s="367"/>
      <c r="F24" s="12"/>
      <c r="G24" s="12"/>
      <c r="I24" s="12"/>
      <c r="J24" s="12"/>
      <c r="K24" s="12"/>
      <c r="L24" s="12"/>
      <c r="M24" s="12"/>
      <c r="N24" s="12"/>
    </row>
    <row r="25" spans="2:15" ht="327.75" customHeight="1" x14ac:dyDescent="0.2">
      <c r="B25" s="366"/>
      <c r="E25" s="367"/>
      <c r="F25" s="12"/>
      <c r="G25" s="12"/>
      <c r="I25" s="12"/>
      <c r="J25" s="12"/>
      <c r="K25" s="12"/>
      <c r="L25" s="12"/>
      <c r="M25" s="12"/>
      <c r="N25" s="12"/>
    </row>
    <row r="26" spans="2:15" x14ac:dyDescent="0.2">
      <c r="E26" s="367"/>
      <c r="F26" s="12"/>
      <c r="G26" s="12"/>
      <c r="I26" s="12"/>
      <c r="J26" s="12"/>
      <c r="K26" s="12"/>
      <c r="L26" s="12"/>
      <c r="M26" s="12"/>
      <c r="N26" s="12"/>
    </row>
    <row r="27" spans="2:15" ht="327.60000000000002" customHeight="1" x14ac:dyDescent="0.2">
      <c r="B27" s="366"/>
      <c r="E27" s="367"/>
      <c r="F27" s="12"/>
      <c r="G27" s="12"/>
      <c r="I27" s="12"/>
      <c r="J27" s="12"/>
      <c r="K27" s="12"/>
      <c r="L27" s="12"/>
      <c r="M27" s="12"/>
      <c r="N27" s="12"/>
    </row>
    <row r="28" spans="2:15" x14ac:dyDescent="0.2">
      <c r="B28" s="366"/>
      <c r="E28" s="367"/>
      <c r="F28" s="12"/>
      <c r="G28" s="12"/>
      <c r="I28" s="12"/>
      <c r="J28" s="12"/>
      <c r="K28" s="12"/>
      <c r="L28" s="12"/>
      <c r="M28" s="12"/>
      <c r="N28" s="12"/>
    </row>
    <row r="29" spans="2:15" ht="327.75" customHeight="1" x14ac:dyDescent="0.2">
      <c r="B29" s="366"/>
      <c r="E29" s="367"/>
      <c r="F29" s="12"/>
      <c r="G29" s="12"/>
      <c r="I29" s="12"/>
      <c r="J29" s="12"/>
      <c r="K29" s="12"/>
      <c r="L29" s="12"/>
      <c r="M29" s="12"/>
      <c r="N29" s="12"/>
    </row>
    <row r="30" spans="2:15" ht="13.5" customHeight="1" x14ac:dyDescent="0.2">
      <c r="B30" s="366"/>
      <c r="E30" s="367"/>
      <c r="F30" s="12"/>
      <c r="G30" s="12"/>
      <c r="I30" s="12"/>
      <c r="J30" s="12"/>
      <c r="K30" s="12"/>
      <c r="L30" s="12"/>
      <c r="M30" s="12"/>
      <c r="N30" s="12"/>
    </row>
    <row r="31" spans="2:15" ht="327.75" customHeight="1" x14ac:dyDescent="0.2">
      <c r="B31" s="366"/>
      <c r="E31" s="367"/>
      <c r="F31" s="12"/>
      <c r="G31" s="12"/>
      <c r="I31" s="12"/>
      <c r="J31" s="12"/>
      <c r="K31" s="12"/>
      <c r="L31" s="12"/>
      <c r="M31" s="12"/>
      <c r="N31" s="12"/>
    </row>
    <row r="32" spans="2:15" ht="13.5" customHeight="1" x14ac:dyDescent="0.2">
      <c r="B32" s="366"/>
      <c r="E32" s="367"/>
      <c r="F32" s="12"/>
      <c r="G32" s="12"/>
      <c r="I32" s="12"/>
      <c r="J32" s="12"/>
      <c r="K32" s="12"/>
      <c r="L32" s="12"/>
      <c r="M32" s="12"/>
      <c r="N32" s="12"/>
    </row>
    <row r="33" spans="2:20" ht="327.75" customHeight="1" x14ac:dyDescent="0.2">
      <c r="B33" s="366"/>
      <c r="E33" s="367"/>
      <c r="F33" s="12"/>
      <c r="G33" s="12"/>
      <c r="I33" s="12"/>
      <c r="J33" s="12"/>
      <c r="K33" s="12"/>
      <c r="L33" s="12"/>
      <c r="M33" s="12"/>
      <c r="N33" s="12"/>
    </row>
    <row r="34" spans="2:20" ht="13.5" customHeight="1" x14ac:dyDescent="0.2">
      <c r="B34" s="366"/>
      <c r="E34" s="367"/>
      <c r="F34" s="12"/>
      <c r="G34" s="12"/>
      <c r="I34" s="12"/>
      <c r="J34" s="12"/>
      <c r="K34" s="12"/>
      <c r="L34" s="12"/>
      <c r="M34" s="12"/>
      <c r="N34" s="12"/>
    </row>
    <row r="35" spans="2:20" ht="327.60000000000002" customHeight="1" x14ac:dyDescent="0.2">
      <c r="B35" s="366"/>
      <c r="E35" s="367"/>
      <c r="F35" s="12"/>
      <c r="G35" s="12"/>
      <c r="I35" s="12"/>
      <c r="J35" s="12"/>
      <c r="K35" s="12"/>
      <c r="L35" s="12"/>
      <c r="M35" s="12"/>
      <c r="N35" s="12"/>
    </row>
    <row r="36" spans="2:20" ht="13.5" customHeight="1" x14ac:dyDescent="0.2">
      <c r="B36" s="366"/>
      <c r="E36" s="367"/>
      <c r="F36" s="12"/>
      <c r="G36" s="12"/>
      <c r="I36" s="12"/>
      <c r="J36" s="12"/>
      <c r="K36" s="12"/>
      <c r="L36" s="12"/>
      <c r="M36" s="12"/>
      <c r="N36" s="12"/>
    </row>
    <row r="37" spans="2:20" ht="327.75" customHeight="1" x14ac:dyDescent="0.2">
      <c r="B37" s="366"/>
      <c r="E37" s="367"/>
      <c r="F37" s="12"/>
      <c r="G37" s="12"/>
      <c r="I37" s="12"/>
      <c r="J37" s="12"/>
      <c r="K37" s="12"/>
      <c r="L37" s="12"/>
      <c r="M37" s="12"/>
      <c r="N37" s="12"/>
    </row>
    <row r="38" spans="2:20" ht="13.5" customHeight="1" x14ac:dyDescent="0.35">
      <c r="B38" s="366"/>
      <c r="E38" s="367"/>
      <c r="F38" s="12"/>
      <c r="G38" s="370"/>
      <c r="I38" s="371"/>
      <c r="J38" s="12"/>
      <c r="K38" s="12"/>
      <c r="L38" s="12"/>
      <c r="M38" s="12"/>
      <c r="N38" s="12"/>
    </row>
    <row r="39" spans="2:20" ht="327.75" customHeight="1" x14ac:dyDescent="0.2">
      <c r="B39" s="366"/>
      <c r="E39" s="367"/>
      <c r="F39" s="12"/>
      <c r="G39" s="12"/>
      <c r="I39" s="371"/>
      <c r="J39" s="12"/>
      <c r="K39" s="12"/>
      <c r="L39" s="12"/>
      <c r="M39" s="12"/>
      <c r="N39" s="12"/>
    </row>
    <row r="40" spans="2:20" x14ac:dyDescent="0.2">
      <c r="B40" s="366"/>
      <c r="E40" s="367"/>
      <c r="F40" s="12"/>
      <c r="G40" s="12"/>
      <c r="I40" s="12"/>
      <c r="J40" s="12"/>
      <c r="K40" s="12"/>
      <c r="L40" s="12"/>
      <c r="M40" s="12"/>
      <c r="N40" s="12"/>
      <c r="O40" s="12"/>
      <c r="P40" s="12"/>
      <c r="Q40" s="14"/>
      <c r="S40" s="372"/>
      <c r="T40" s="372"/>
    </row>
    <row r="41" spans="2:20" ht="327.75" customHeight="1" x14ac:dyDescent="0.2">
      <c r="B41" s="366"/>
      <c r="E41" s="367"/>
      <c r="F41" s="12"/>
      <c r="G41" s="12"/>
      <c r="I41" s="12"/>
      <c r="J41" s="12"/>
      <c r="K41" s="12"/>
      <c r="L41" s="12"/>
      <c r="M41" s="12"/>
      <c r="N41" s="12"/>
      <c r="O41" s="12"/>
      <c r="P41" s="12"/>
      <c r="Q41" s="14"/>
      <c r="S41" s="372"/>
    </row>
    <row r="42" spans="2:20" x14ac:dyDescent="0.2">
      <c r="B42" s="366"/>
      <c r="E42" s="367"/>
      <c r="F42" s="12"/>
      <c r="G42" s="12"/>
      <c r="I42" s="12"/>
      <c r="J42" s="12"/>
      <c r="K42" s="12"/>
      <c r="L42" s="12"/>
      <c r="M42" s="12"/>
      <c r="N42" s="12"/>
      <c r="O42" s="12"/>
      <c r="P42" s="12"/>
      <c r="Q42" s="14"/>
      <c r="S42" s="372"/>
    </row>
    <row r="43" spans="2:20" ht="327.75" customHeight="1" x14ac:dyDescent="0.2">
      <c r="B43" s="366"/>
      <c r="E43" s="367"/>
      <c r="F43" s="12"/>
      <c r="G43" s="12"/>
      <c r="I43" s="12"/>
      <c r="J43" s="12"/>
      <c r="K43" s="12"/>
      <c r="L43" s="12"/>
      <c r="M43" s="12"/>
      <c r="N43" s="12"/>
      <c r="O43" s="12"/>
      <c r="P43" s="12"/>
      <c r="Q43" s="14"/>
      <c r="S43" s="372"/>
    </row>
    <row r="44" spans="2:20" x14ac:dyDescent="0.2">
      <c r="B44" s="366"/>
      <c r="E44" s="367"/>
      <c r="F44" s="12"/>
      <c r="G44" s="12"/>
      <c r="I44" s="12"/>
      <c r="J44" s="12"/>
      <c r="K44" s="12"/>
      <c r="L44" s="12"/>
      <c r="M44" s="12"/>
      <c r="N44" s="12"/>
      <c r="O44" s="12"/>
      <c r="P44" s="12"/>
      <c r="Q44" s="14"/>
      <c r="S44" s="372"/>
    </row>
    <row r="45" spans="2:20" ht="327.75" customHeight="1" x14ac:dyDescent="0.2">
      <c r="B45" s="366"/>
      <c r="E45" s="367"/>
      <c r="F45" s="12"/>
      <c r="G45" s="12"/>
      <c r="I45" s="12"/>
      <c r="J45" s="12"/>
      <c r="K45" s="12"/>
      <c r="L45" s="12"/>
      <c r="M45" s="12"/>
      <c r="N45" s="12"/>
      <c r="O45" s="12"/>
      <c r="P45" s="12"/>
      <c r="Q45" s="14"/>
      <c r="S45" s="372"/>
    </row>
    <row r="46" spans="2:20" x14ac:dyDescent="0.2">
      <c r="B46" s="366"/>
      <c r="E46" s="367"/>
      <c r="F46" s="12"/>
      <c r="G46" s="12"/>
      <c r="I46" s="12"/>
      <c r="J46" s="12"/>
      <c r="K46" s="12"/>
      <c r="L46" s="12"/>
      <c r="M46" s="12"/>
      <c r="N46" s="12"/>
      <c r="O46" s="12"/>
      <c r="P46" s="12"/>
      <c r="Q46" s="14"/>
      <c r="S46" s="372"/>
    </row>
    <row r="47" spans="2:20" ht="327.75" customHeight="1" x14ac:dyDescent="0.2">
      <c r="B47" s="366"/>
      <c r="E47" s="367"/>
      <c r="F47" s="12"/>
      <c r="G47" s="12"/>
      <c r="I47" s="12"/>
      <c r="J47" s="12"/>
      <c r="K47" s="12"/>
      <c r="L47" s="12"/>
      <c r="M47" s="12"/>
      <c r="N47" s="12"/>
      <c r="O47" s="12"/>
      <c r="P47" s="12"/>
      <c r="Q47" s="14"/>
      <c r="S47" s="373"/>
    </row>
    <row r="48" spans="2:20" x14ac:dyDescent="0.2">
      <c r="B48" s="366"/>
      <c r="E48" s="367"/>
      <c r="F48" s="12"/>
      <c r="G48" s="12"/>
      <c r="I48" s="12"/>
      <c r="J48" s="12"/>
      <c r="K48" s="12"/>
      <c r="L48" s="12"/>
      <c r="M48" s="12"/>
      <c r="N48" s="12"/>
      <c r="O48" s="12"/>
      <c r="P48" s="12"/>
      <c r="Q48" s="14"/>
      <c r="S48" s="372"/>
    </row>
    <row r="49" spans="2:19" ht="327.75" customHeight="1" x14ac:dyDescent="0.2">
      <c r="B49" s="366"/>
      <c r="E49" s="367"/>
      <c r="F49" s="12"/>
      <c r="G49" s="12"/>
      <c r="I49" s="12"/>
      <c r="J49" s="12"/>
      <c r="K49" s="12"/>
      <c r="L49" s="12"/>
      <c r="M49" s="12"/>
      <c r="N49" s="12"/>
      <c r="O49" s="12"/>
      <c r="P49" s="12"/>
      <c r="Q49" s="14"/>
      <c r="S49" s="372"/>
    </row>
    <row r="50" spans="2:19" x14ac:dyDescent="0.2">
      <c r="B50" s="366"/>
      <c r="E50" s="367"/>
      <c r="F50" s="12"/>
      <c r="G50" s="12"/>
      <c r="I50" s="12"/>
      <c r="J50" s="12"/>
      <c r="K50" s="12"/>
      <c r="L50" s="12"/>
      <c r="M50" s="12"/>
      <c r="N50" s="12"/>
      <c r="O50" s="12"/>
      <c r="P50" s="12"/>
      <c r="Q50" s="14"/>
      <c r="S50" s="372"/>
    </row>
    <row r="51" spans="2:19" x14ac:dyDescent="0.2">
      <c r="B51" s="366"/>
      <c r="E51" s="367"/>
      <c r="F51" s="12"/>
      <c r="G51" s="12"/>
      <c r="I51" s="12"/>
      <c r="J51" s="12"/>
      <c r="K51" s="12"/>
      <c r="L51" s="12"/>
      <c r="M51" s="12"/>
      <c r="N51" s="12"/>
      <c r="O51" s="12"/>
      <c r="P51" s="12"/>
      <c r="Q51" s="14"/>
      <c r="S51" s="372"/>
    </row>
    <row r="52" spans="2:19" x14ac:dyDescent="0.2">
      <c r="B52" s="366"/>
      <c r="E52" s="367"/>
      <c r="F52" s="12"/>
      <c r="G52" s="12"/>
      <c r="I52" s="12"/>
      <c r="J52" s="12"/>
      <c r="K52" s="12"/>
      <c r="L52" s="12"/>
      <c r="M52" s="12"/>
      <c r="N52" s="12"/>
      <c r="O52" s="12"/>
      <c r="P52" s="12"/>
      <c r="Q52" s="14"/>
      <c r="S52" s="372"/>
    </row>
    <row r="53" spans="2:19" x14ac:dyDescent="0.2">
      <c r="B53" s="366"/>
      <c r="E53" s="367"/>
      <c r="F53" s="12"/>
      <c r="G53" s="12"/>
      <c r="I53" s="12"/>
      <c r="J53" s="12"/>
      <c r="K53" s="12"/>
      <c r="L53" s="12"/>
      <c r="M53" s="12"/>
      <c r="N53" s="12"/>
    </row>
    <row r="54" spans="2:19" x14ac:dyDescent="0.2">
      <c r="B54" s="366"/>
      <c r="E54" s="367"/>
      <c r="F54" s="12"/>
      <c r="G54" s="12"/>
      <c r="I54" s="12"/>
      <c r="J54" s="12"/>
      <c r="K54" s="12"/>
      <c r="L54" s="12"/>
      <c r="M54" s="12"/>
      <c r="N54" s="12"/>
    </row>
    <row r="55" spans="2:19" x14ac:dyDescent="0.2">
      <c r="B55" s="366"/>
      <c r="E55" s="367"/>
      <c r="F55" s="12"/>
      <c r="G55" s="12"/>
      <c r="I55" s="12"/>
      <c r="J55" s="12"/>
      <c r="K55" s="12"/>
      <c r="L55" s="12"/>
      <c r="M55" s="12"/>
      <c r="N55" s="12"/>
      <c r="R55" s="15"/>
    </row>
    <row r="56" spans="2:19" x14ac:dyDescent="0.2">
      <c r="B56" s="366"/>
      <c r="E56" s="367"/>
      <c r="F56" s="12"/>
      <c r="G56" s="12"/>
      <c r="I56" s="12"/>
      <c r="J56" s="12"/>
      <c r="K56" s="12"/>
      <c r="L56" s="12"/>
      <c r="M56" s="12"/>
      <c r="N56" s="12"/>
    </row>
    <row r="57" spans="2:19" x14ac:dyDescent="0.2">
      <c r="B57" s="366"/>
      <c r="E57" s="367"/>
      <c r="F57" s="12"/>
      <c r="G57" s="12"/>
      <c r="I57" s="12"/>
      <c r="J57" s="12"/>
      <c r="K57" s="12"/>
      <c r="L57" s="12"/>
      <c r="M57" s="12"/>
      <c r="N57" s="12"/>
    </row>
    <row r="58" spans="2:19" x14ac:dyDescent="0.2">
      <c r="E58" s="13"/>
      <c r="F58" s="12"/>
      <c r="G58" s="12"/>
      <c r="I58" s="12"/>
      <c r="J58" s="12"/>
      <c r="K58" s="12"/>
      <c r="L58" s="12"/>
      <c r="M58" s="12"/>
      <c r="N58" s="12"/>
    </row>
    <row r="59" spans="2:19" x14ac:dyDescent="0.2">
      <c r="E59" s="13"/>
      <c r="F59" s="12"/>
      <c r="G59" s="12"/>
      <c r="I59" s="12"/>
      <c r="J59" s="12"/>
      <c r="K59" s="12"/>
      <c r="L59" s="12"/>
      <c r="M59" s="12"/>
      <c r="N59" s="12"/>
    </row>
    <row r="60" spans="2:19" x14ac:dyDescent="0.2">
      <c r="E60" s="13"/>
      <c r="F60" s="12"/>
      <c r="G60" s="12"/>
      <c r="I60" s="12"/>
      <c r="J60" s="12"/>
      <c r="K60" s="12"/>
      <c r="L60" s="12"/>
      <c r="M60" s="12"/>
      <c r="N60" s="12"/>
    </row>
    <row r="61" spans="2:19" x14ac:dyDescent="0.2">
      <c r="E61" s="13"/>
      <c r="F61" s="12"/>
      <c r="G61" s="12"/>
      <c r="I61" s="12"/>
      <c r="J61" s="12"/>
      <c r="K61" s="12"/>
      <c r="L61" s="12"/>
      <c r="M61" s="12"/>
      <c r="N61" s="12"/>
    </row>
    <row r="62" spans="2:19" x14ac:dyDescent="0.2">
      <c r="E62" s="13"/>
      <c r="F62" s="12"/>
      <c r="G62" s="12"/>
      <c r="I62" s="12"/>
      <c r="J62" s="12"/>
      <c r="K62" s="12"/>
      <c r="L62" s="12"/>
      <c r="M62" s="12"/>
      <c r="N62" s="12"/>
    </row>
    <row r="63" spans="2:19" x14ac:dyDescent="0.2">
      <c r="E63" s="13"/>
      <c r="F63" s="12"/>
      <c r="G63" s="12"/>
      <c r="I63" s="12"/>
      <c r="J63" s="12"/>
      <c r="K63" s="12"/>
      <c r="L63" s="12"/>
      <c r="M63" s="12"/>
      <c r="N63" s="12"/>
    </row>
    <row r="64" spans="2:19" x14ac:dyDescent="0.2">
      <c r="E64" s="13"/>
      <c r="F64" s="12"/>
      <c r="G64" s="12"/>
      <c r="I64" s="12"/>
      <c r="J64" s="12"/>
      <c r="K64" s="12"/>
      <c r="L64" s="12"/>
      <c r="M64" s="12"/>
      <c r="N64" s="12"/>
    </row>
    <row r="65" spans="5:18" x14ac:dyDescent="0.2">
      <c r="E65" s="13"/>
      <c r="F65" s="12"/>
      <c r="G65" s="12"/>
      <c r="I65" s="12"/>
      <c r="J65" s="12"/>
      <c r="K65" s="12"/>
      <c r="L65" s="12"/>
      <c r="M65" s="12"/>
      <c r="N65" s="12"/>
    </row>
    <row r="66" spans="5:18" x14ac:dyDescent="0.2">
      <c r="E66" s="13"/>
      <c r="F66" s="12"/>
      <c r="G66" s="12"/>
      <c r="I66" s="12"/>
      <c r="J66" s="12"/>
      <c r="K66" s="12"/>
      <c r="L66" s="12"/>
      <c r="M66" s="12"/>
      <c r="N66" s="12"/>
      <c r="R66" s="15"/>
    </row>
    <row r="67" spans="5:18" x14ac:dyDescent="0.2">
      <c r="E67" s="13"/>
      <c r="F67" s="12"/>
      <c r="G67" s="12"/>
      <c r="I67" s="12"/>
      <c r="J67" s="12"/>
      <c r="K67" s="12"/>
      <c r="L67" s="12"/>
      <c r="M67" s="12"/>
      <c r="N67" s="12"/>
    </row>
  </sheetData>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K159"/>
  <sheetViews>
    <sheetView workbookViewId="0">
      <selection activeCell="I10" sqref="I10"/>
    </sheetView>
  </sheetViews>
  <sheetFormatPr defaultRowHeight="12.75" x14ac:dyDescent="0.2"/>
  <cols>
    <col min="1" max="1" width="17.28515625" customWidth="1"/>
    <col min="2" max="2" width="12" bestFit="1" customWidth="1"/>
    <col min="8" max="8" width="12.140625" customWidth="1"/>
    <col min="9" max="9" width="12.42578125" bestFit="1" customWidth="1"/>
    <col min="10" max="10" width="15.42578125" customWidth="1"/>
  </cols>
  <sheetData>
    <row r="2" spans="1:11" x14ac:dyDescent="0.2">
      <c r="A2" t="s">
        <v>68</v>
      </c>
      <c r="B2" t="s">
        <v>66</v>
      </c>
      <c r="C2" t="s">
        <v>14</v>
      </c>
      <c r="D2" t="s">
        <v>28</v>
      </c>
      <c r="E2" t="s">
        <v>75</v>
      </c>
    </row>
    <row r="3" spans="1:11" x14ac:dyDescent="0.2">
      <c r="A3" t="s">
        <v>71</v>
      </c>
      <c r="B3">
        <f>Css</f>
        <v>4.4999999999999999E-8</v>
      </c>
      <c r="C3">
        <f>Cout</f>
        <v>100</v>
      </c>
      <c r="D3">
        <f>Cin</f>
        <v>4.7</v>
      </c>
      <c r="E3">
        <f>Cb</f>
        <v>0</v>
      </c>
      <c r="H3" t="s">
        <v>73</v>
      </c>
      <c r="I3" t="s">
        <v>74</v>
      </c>
      <c r="J3" s="4" t="s">
        <v>70</v>
      </c>
    </row>
    <row r="4" spans="1:11" x14ac:dyDescent="0.2">
      <c r="A4" s="7" t="s">
        <v>70</v>
      </c>
      <c r="B4" s="7">
        <f>SUM(B6:B158)/1000000000000</f>
        <v>4.6999999999999997E-8</v>
      </c>
      <c r="C4" s="7">
        <f>SUM(C6:C158)/1000000000000</f>
        <v>0</v>
      </c>
      <c r="D4" s="7">
        <f>SUM(D6:D158)/1000000000000</f>
        <v>0</v>
      </c>
      <c r="E4" s="7">
        <f t="shared" ref="E4" si="0">IF(E3="OPEN","OPEN",SUM(E6:E158)/1000000000000)</f>
        <v>0</v>
      </c>
      <c r="H4" s="78" t="s">
        <v>139</v>
      </c>
      <c r="I4" t="e">
        <f>Rt</f>
        <v>#NAME?</v>
      </c>
      <c r="J4" s="4" t="e">
        <f t="shared" ref="J4:J9" si="1">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8" t="s">
        <v>136</v>
      </c>
    </row>
    <row r="5" spans="1:11" x14ac:dyDescent="0.2">
      <c r="A5" t="s">
        <v>69</v>
      </c>
      <c r="J5" s="4"/>
      <c r="K5" s="18"/>
    </row>
    <row r="6" spans="1:11" x14ac:dyDescent="0.2">
      <c r="A6">
        <v>0.47</v>
      </c>
      <c r="B6">
        <f t="shared" ref="B6:E6" si="2">IF(IF((B$3*10^12-$A7)*(B$3*10^12-$A6)*-1&lt;0,0,1)*IF(ABS(B$3*10^12-$A7)&gt;(B$3*10^12-$A6),$A6,$A7)=B7,0,IF((B$3*10^12-$A7)*(B$3*10^12-$A6)*-1&lt;0,0,1)*IF(ABS(B$3*10^12-$A7)&gt;(B$3*10^12-$A6),$A6,$A7))</f>
        <v>0</v>
      </c>
      <c r="C6">
        <f t="shared" si="2"/>
        <v>0</v>
      </c>
      <c r="D6">
        <f t="shared" si="2"/>
        <v>0</v>
      </c>
      <c r="E6">
        <f t="shared" si="2"/>
        <v>0</v>
      </c>
      <c r="H6" s="78" t="s">
        <v>163</v>
      </c>
      <c r="I6" t="e">
        <f>Rshunt</f>
        <v>#NAME?</v>
      </c>
      <c r="J6" s="4" t="e">
        <f t="shared" si="1"/>
        <v>#NAME?</v>
      </c>
      <c r="K6" s="18" t="s">
        <v>136</v>
      </c>
    </row>
    <row r="7" spans="1:11" x14ac:dyDescent="0.2">
      <c r="A7">
        <v>0.56000000000000005</v>
      </c>
      <c r="B7">
        <f t="shared" ref="B7:B70" si="3">IF(IF((B$3*10^12-$A8)*(B$3*10^12-$A7)*-1&lt;0,0,1)*IF(ABS(B$3*10^12-$A8)&gt;(B$3*10^12-$A7),$A7,$A8)=B8,0,IF((B$3*10^12-$A8)*(B$3*10^12-$A7)*-1&lt;0,0,1)*IF(ABS(B$3*10^12-$A8)&gt;(B$3*10^12-$A7),$A7,$A8))</f>
        <v>0</v>
      </c>
      <c r="C7">
        <f t="shared" ref="C7:C69" si="4">IF(IF((C$3*10^12-$A8)*(C$3*10^12-$A7)*-1&lt;0,0,1)*IF(ABS(C$3*10^12-$A8)&gt;(C$3*10^12-$A7),$A7,$A8)=C8,0,IF((C$3*10^12-$A8)*(C$3*10^12-$A7)*-1&lt;0,0,1)*IF(ABS(C$3*10^12-$A8)&gt;(C$3*10^12-$A7),$A7,$A8))</f>
        <v>0</v>
      </c>
      <c r="D7">
        <f t="shared" ref="D7:D69" si="5">IF(IF((D$3*10^12-$A8)*(D$3*10^12-$A7)*-1&lt;0,0,1)*IF(ABS(D$3*10^12-$A8)&gt;(D$3*10^12-$A7),$A7,$A8)=D8,0,IF((D$3*10^12-$A8)*(D$3*10^12-$A7)*-1&lt;0,0,1)*IF(ABS(D$3*10^12-$A8)&gt;(D$3*10^12-$A7),$A7,$A8))</f>
        <v>0</v>
      </c>
      <c r="E7">
        <f t="shared" ref="E7:E37" si="6">IF(IF((E$3*10^12-$A8)*(E$3*10^12-$A7)*-1&lt;0,0,1)*IF(ABS(E$3*10^12-$A8)&gt;(E$3*10^12-$A7),$A7,$A8)=E8,0,IF((E$3*10^12-$A8)*(E$3*10^12-$A7)*-1&lt;0,0,1)*IF(ABS(E$3*10^12-$A8)&gt;(E$3*10^12-$A7),$A7,$A8))</f>
        <v>0</v>
      </c>
      <c r="H7" t="s">
        <v>79</v>
      </c>
      <c r="I7" t="e">
        <f>Rcea1</f>
        <v>#NAME?</v>
      </c>
      <c r="J7" s="4" t="e">
        <f t="shared" si="1"/>
        <v>#NAME?</v>
      </c>
      <c r="K7" s="18" t="s">
        <v>136</v>
      </c>
    </row>
    <row r="8" spans="1:11" x14ac:dyDescent="0.2">
      <c r="A8">
        <v>0.68</v>
      </c>
      <c r="B8">
        <f t="shared" si="3"/>
        <v>0</v>
      </c>
      <c r="C8">
        <f t="shared" si="4"/>
        <v>0</v>
      </c>
      <c r="D8">
        <f t="shared" si="5"/>
        <v>0</v>
      </c>
      <c r="E8">
        <f t="shared" si="6"/>
        <v>0</v>
      </c>
      <c r="J8" s="4"/>
      <c r="K8" s="18"/>
    </row>
    <row r="9" spans="1:11" x14ac:dyDescent="0.2">
      <c r="A9">
        <v>0.82</v>
      </c>
      <c r="B9">
        <f t="shared" si="3"/>
        <v>0</v>
      </c>
      <c r="C9">
        <f t="shared" si="4"/>
        <v>0</v>
      </c>
      <c r="D9">
        <f t="shared" si="5"/>
        <v>0</v>
      </c>
      <c r="E9">
        <f t="shared" si="6"/>
        <v>0</v>
      </c>
      <c r="H9" t="s">
        <v>389</v>
      </c>
      <c r="I9">
        <f>RTC_1</f>
        <v>158000</v>
      </c>
      <c r="J9" s="4">
        <f t="shared" si="1"/>
        <v>158000</v>
      </c>
      <c r="K9" s="18" t="s">
        <v>136</v>
      </c>
    </row>
    <row r="10" spans="1:11" x14ac:dyDescent="0.2">
      <c r="A10">
        <v>1</v>
      </c>
      <c r="B10">
        <f t="shared" si="3"/>
        <v>0</v>
      </c>
      <c r="C10">
        <f t="shared" si="4"/>
        <v>0</v>
      </c>
      <c r="D10">
        <f t="shared" si="5"/>
        <v>0</v>
      </c>
      <c r="E10">
        <f t="shared" si="6"/>
        <v>0</v>
      </c>
      <c r="H10" t="s">
        <v>17</v>
      </c>
      <c r="I10">
        <f>Rfb</f>
        <v>158000</v>
      </c>
      <c r="J10" s="4">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158000</v>
      </c>
      <c r="K10" s="18" t="s">
        <v>136</v>
      </c>
    </row>
    <row r="11" spans="1:11" x14ac:dyDescent="0.2">
      <c r="A11">
        <v>1.2</v>
      </c>
      <c r="B11">
        <f t="shared" si="3"/>
        <v>0</v>
      </c>
      <c r="C11">
        <f t="shared" si="4"/>
        <v>0</v>
      </c>
      <c r="D11">
        <f t="shared" si="5"/>
        <v>0</v>
      </c>
      <c r="E11">
        <f t="shared" si="6"/>
        <v>0</v>
      </c>
      <c r="J11" s="4"/>
    </row>
    <row r="12" spans="1:11" x14ac:dyDescent="0.2">
      <c r="A12">
        <v>1.5</v>
      </c>
      <c r="B12">
        <f t="shared" si="3"/>
        <v>0</v>
      </c>
      <c r="C12">
        <f t="shared" si="4"/>
        <v>0</v>
      </c>
      <c r="D12">
        <f t="shared" si="5"/>
        <v>0</v>
      </c>
      <c r="E12">
        <f t="shared" si="6"/>
        <v>0</v>
      </c>
      <c r="J12" s="4"/>
    </row>
    <row r="13" spans="1:11" x14ac:dyDescent="0.2">
      <c r="A13">
        <v>1.8</v>
      </c>
      <c r="B13">
        <f t="shared" si="3"/>
        <v>0</v>
      </c>
      <c r="C13">
        <f t="shared" si="4"/>
        <v>0</v>
      </c>
      <c r="D13">
        <f t="shared" si="5"/>
        <v>0</v>
      </c>
      <c r="E13">
        <f t="shared" si="6"/>
        <v>0</v>
      </c>
      <c r="H13" s="78" t="s">
        <v>76</v>
      </c>
      <c r="I13" t="e">
        <f>Rs_ideal*1000</f>
        <v>#NAME?</v>
      </c>
      <c r="J13" s="4" t="e">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#NAME?</v>
      </c>
      <c r="K13" s="18" t="s">
        <v>162</v>
      </c>
    </row>
    <row r="14" spans="1:11" x14ac:dyDescent="0.2">
      <c r="A14">
        <v>2.2000000000000002</v>
      </c>
      <c r="B14">
        <f t="shared" ref="B14:E14" si="7">IF(IF((B$3*10^12-$A15)*(B$3*10^12-$A14)*-1&lt;0,0,1)*IF(ABS(B$3*10^12-$A15)&gt;(B$3*10^12-$A14),$A14,$A15)=B15,0,IF((B$3*10^12-$A15)*(B$3*10^12-$A14)*-1&lt;0,0,1)*IF(ABS(B$3*10^12-$A15)&gt;(B$3*10^12-$A14),$A14,$A15))</f>
        <v>0</v>
      </c>
      <c r="C14">
        <f t="shared" si="7"/>
        <v>0</v>
      </c>
      <c r="D14">
        <f t="shared" si="7"/>
        <v>0</v>
      </c>
      <c r="E14">
        <f t="shared" si="7"/>
        <v>0</v>
      </c>
      <c r="H14" s="78" t="s">
        <v>161</v>
      </c>
      <c r="I14" t="e">
        <f>Cslope_ideal</f>
        <v>#NAME?</v>
      </c>
      <c r="J14" t="e">
        <f>#REF!*1000000000000</f>
        <v>#REF!</v>
      </c>
      <c r="K14" s="78" t="s">
        <v>15</v>
      </c>
    </row>
    <row r="15" spans="1:11" x14ac:dyDescent="0.2">
      <c r="A15">
        <v>2.7</v>
      </c>
      <c r="B15">
        <f t="shared" si="3"/>
        <v>0</v>
      </c>
      <c r="C15">
        <f t="shared" si="4"/>
        <v>0</v>
      </c>
      <c r="D15">
        <f t="shared" si="5"/>
        <v>0</v>
      </c>
      <c r="E15">
        <f t="shared" si="6"/>
        <v>0</v>
      </c>
    </row>
    <row r="16" spans="1:11" x14ac:dyDescent="0.2">
      <c r="A16">
        <v>3.3</v>
      </c>
      <c r="B16">
        <f t="shared" si="3"/>
        <v>0</v>
      </c>
      <c r="C16">
        <f t="shared" si="4"/>
        <v>0</v>
      </c>
      <c r="D16">
        <f t="shared" si="5"/>
        <v>0</v>
      </c>
      <c r="E16">
        <f t="shared" si="6"/>
        <v>0</v>
      </c>
      <c r="H16" s="78" t="s">
        <v>130</v>
      </c>
      <c r="I16">
        <f>Ruvlo1</f>
        <v>126.66666666666657</v>
      </c>
      <c r="J16" s="4">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127</v>
      </c>
      <c r="K16" s="18" t="s">
        <v>113</v>
      </c>
    </row>
    <row r="17" spans="1:11" x14ac:dyDescent="0.2">
      <c r="A17">
        <v>3.9</v>
      </c>
      <c r="B17">
        <f t="shared" si="3"/>
        <v>0</v>
      </c>
      <c r="C17">
        <f t="shared" si="4"/>
        <v>0</v>
      </c>
      <c r="D17">
        <f t="shared" si="5"/>
        <v>0</v>
      </c>
      <c r="E17">
        <f t="shared" si="6"/>
        <v>0</v>
      </c>
      <c r="H17" s="78" t="s">
        <v>131</v>
      </c>
      <c r="I17" s="179">
        <f>Ruvlo2</f>
        <v>20.05263157894737</v>
      </c>
      <c r="J17" s="4">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20</v>
      </c>
      <c r="K17" s="18" t="s">
        <v>113</v>
      </c>
    </row>
    <row r="18" spans="1:11" x14ac:dyDescent="0.2">
      <c r="A18">
        <v>4.7</v>
      </c>
      <c r="B18">
        <f t="shared" si="3"/>
        <v>0</v>
      </c>
      <c r="C18">
        <f t="shared" si="4"/>
        <v>0</v>
      </c>
      <c r="D18">
        <f t="shared" si="5"/>
        <v>0</v>
      </c>
      <c r="E18">
        <f t="shared" si="6"/>
        <v>0</v>
      </c>
      <c r="H18" s="78" t="s">
        <v>297</v>
      </c>
      <c r="I18" s="179" t="e">
        <f>Rhys</f>
        <v>#NAME?</v>
      </c>
      <c r="J18" s="4"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8" t="s">
        <v>113</v>
      </c>
    </row>
    <row r="19" spans="1:11" x14ac:dyDescent="0.2">
      <c r="A19">
        <v>5.6</v>
      </c>
      <c r="B19">
        <f t="shared" si="3"/>
        <v>0</v>
      </c>
      <c r="C19">
        <f t="shared" si="4"/>
        <v>0</v>
      </c>
      <c r="D19">
        <f t="shared" si="5"/>
        <v>0</v>
      </c>
      <c r="E19">
        <f t="shared" si="6"/>
        <v>0</v>
      </c>
    </row>
    <row r="20" spans="1:11" x14ac:dyDescent="0.2">
      <c r="A20">
        <v>6.8</v>
      </c>
      <c r="B20">
        <f t="shared" si="3"/>
        <v>0</v>
      </c>
      <c r="C20">
        <f t="shared" si="4"/>
        <v>0</v>
      </c>
      <c r="D20">
        <f t="shared" si="5"/>
        <v>0</v>
      </c>
      <c r="E20">
        <f t="shared" si="6"/>
        <v>0</v>
      </c>
      <c r="H20" s="78"/>
      <c r="J20" s="4"/>
    </row>
    <row r="21" spans="1:11" x14ac:dyDescent="0.2">
      <c r="A21">
        <v>8.1999999999999993</v>
      </c>
      <c r="B21">
        <f t="shared" si="3"/>
        <v>0</v>
      </c>
      <c r="C21">
        <f t="shared" si="4"/>
        <v>0</v>
      </c>
      <c r="D21">
        <f t="shared" si="5"/>
        <v>0</v>
      </c>
      <c r="E21">
        <f t="shared" si="6"/>
        <v>0</v>
      </c>
      <c r="J21" s="4"/>
    </row>
    <row r="22" spans="1:11" x14ac:dyDescent="0.2">
      <c r="A22">
        <v>10</v>
      </c>
      <c r="B22">
        <f t="shared" si="3"/>
        <v>0</v>
      </c>
      <c r="C22">
        <f t="shared" si="4"/>
        <v>0</v>
      </c>
      <c r="D22">
        <f t="shared" si="5"/>
        <v>0</v>
      </c>
      <c r="E22">
        <f t="shared" si="6"/>
        <v>0</v>
      </c>
      <c r="H22" s="78"/>
      <c r="J22" s="4"/>
      <c r="K22" s="18"/>
    </row>
    <row r="23" spans="1:11" x14ac:dyDescent="0.2">
      <c r="A23">
        <v>12</v>
      </c>
      <c r="B23">
        <f t="shared" si="3"/>
        <v>0</v>
      </c>
      <c r="C23">
        <f t="shared" si="4"/>
        <v>0</v>
      </c>
      <c r="D23">
        <f t="shared" si="5"/>
        <v>0</v>
      </c>
      <c r="E23">
        <f t="shared" si="6"/>
        <v>0</v>
      </c>
    </row>
    <row r="24" spans="1:11" x14ac:dyDescent="0.2">
      <c r="A24">
        <v>15</v>
      </c>
      <c r="B24">
        <f t="shared" si="3"/>
        <v>0</v>
      </c>
      <c r="C24">
        <f t="shared" si="4"/>
        <v>0</v>
      </c>
      <c r="D24">
        <f t="shared" si="5"/>
        <v>0</v>
      </c>
      <c r="E24">
        <f t="shared" si="6"/>
        <v>0</v>
      </c>
      <c r="J24" s="4"/>
    </row>
    <row r="25" spans="1:11" x14ac:dyDescent="0.2">
      <c r="A25">
        <v>18</v>
      </c>
      <c r="B25">
        <f t="shared" si="3"/>
        <v>0</v>
      </c>
      <c r="C25">
        <f t="shared" si="4"/>
        <v>0</v>
      </c>
      <c r="D25">
        <f t="shared" si="5"/>
        <v>0</v>
      </c>
      <c r="E25">
        <f t="shared" si="6"/>
        <v>0</v>
      </c>
      <c r="H25" s="78"/>
      <c r="J25" s="4"/>
      <c r="K25" s="18"/>
    </row>
    <row r="26" spans="1:11" x14ac:dyDescent="0.2">
      <c r="A26">
        <v>22</v>
      </c>
      <c r="B26">
        <f t="shared" si="3"/>
        <v>0</v>
      </c>
      <c r="C26">
        <f t="shared" si="4"/>
        <v>0</v>
      </c>
      <c r="D26">
        <f t="shared" si="5"/>
        <v>0</v>
      </c>
      <c r="E26">
        <f t="shared" si="6"/>
        <v>0</v>
      </c>
    </row>
    <row r="27" spans="1:11" x14ac:dyDescent="0.2">
      <c r="A27">
        <v>27</v>
      </c>
      <c r="B27">
        <f t="shared" si="3"/>
        <v>0</v>
      </c>
      <c r="C27">
        <f t="shared" si="4"/>
        <v>0</v>
      </c>
      <c r="D27">
        <f t="shared" si="5"/>
        <v>0</v>
      </c>
      <c r="E27">
        <f t="shared" si="6"/>
        <v>0</v>
      </c>
    </row>
    <row r="28" spans="1:11" x14ac:dyDescent="0.2">
      <c r="A28">
        <v>33</v>
      </c>
      <c r="B28">
        <f t="shared" si="3"/>
        <v>0</v>
      </c>
      <c r="C28">
        <f t="shared" si="4"/>
        <v>0</v>
      </c>
      <c r="D28">
        <f t="shared" si="5"/>
        <v>0</v>
      </c>
      <c r="E28">
        <f t="shared" si="6"/>
        <v>0</v>
      </c>
      <c r="H28" s="5"/>
      <c r="K28" s="18"/>
    </row>
    <row r="29" spans="1:11" x14ac:dyDescent="0.2">
      <c r="A29">
        <v>39</v>
      </c>
      <c r="B29">
        <f t="shared" si="3"/>
        <v>0</v>
      </c>
      <c r="C29">
        <f t="shared" si="4"/>
        <v>0</v>
      </c>
      <c r="D29">
        <f t="shared" si="5"/>
        <v>0</v>
      </c>
      <c r="E29">
        <f t="shared" si="6"/>
        <v>0</v>
      </c>
      <c r="H29" s="5"/>
      <c r="K29" s="78"/>
    </row>
    <row r="30" spans="1:11" x14ac:dyDescent="0.2">
      <c r="A30">
        <v>47</v>
      </c>
      <c r="B30">
        <f t="shared" si="3"/>
        <v>0</v>
      </c>
      <c r="C30">
        <f t="shared" si="4"/>
        <v>0</v>
      </c>
      <c r="D30">
        <f t="shared" si="5"/>
        <v>0</v>
      </c>
      <c r="E30">
        <f t="shared" si="6"/>
        <v>0</v>
      </c>
      <c r="H30" s="5"/>
      <c r="K30" s="78"/>
    </row>
    <row r="31" spans="1:11" x14ac:dyDescent="0.2">
      <c r="A31">
        <v>56</v>
      </c>
      <c r="B31">
        <f t="shared" si="3"/>
        <v>0</v>
      </c>
      <c r="C31">
        <f t="shared" si="4"/>
        <v>0</v>
      </c>
      <c r="D31">
        <f t="shared" si="5"/>
        <v>0</v>
      </c>
      <c r="E31">
        <f t="shared" si="6"/>
        <v>0</v>
      </c>
      <c r="H31" s="5"/>
      <c r="K31" s="18"/>
    </row>
    <row r="32" spans="1:11" x14ac:dyDescent="0.2">
      <c r="A32">
        <v>68</v>
      </c>
      <c r="B32">
        <f t="shared" si="3"/>
        <v>0</v>
      </c>
      <c r="C32">
        <f t="shared" si="4"/>
        <v>0</v>
      </c>
      <c r="D32">
        <f t="shared" si="5"/>
        <v>0</v>
      </c>
      <c r="E32">
        <f t="shared" si="6"/>
        <v>0</v>
      </c>
      <c r="H32" s="5"/>
      <c r="K32" s="78"/>
    </row>
    <row r="33" spans="1:8" x14ac:dyDescent="0.2">
      <c r="A33">
        <v>82</v>
      </c>
      <c r="B33">
        <f t="shared" si="3"/>
        <v>0</v>
      </c>
      <c r="C33">
        <f t="shared" si="4"/>
        <v>0</v>
      </c>
      <c r="D33">
        <f t="shared" si="5"/>
        <v>0</v>
      </c>
      <c r="E33">
        <f t="shared" si="6"/>
        <v>0</v>
      </c>
    </row>
    <row r="34" spans="1:8" x14ac:dyDescent="0.2">
      <c r="A34">
        <f>A22*10</f>
        <v>100</v>
      </c>
      <c r="B34">
        <f t="shared" si="3"/>
        <v>0</v>
      </c>
      <c r="C34">
        <f t="shared" si="4"/>
        <v>0</v>
      </c>
      <c r="D34">
        <f t="shared" si="5"/>
        <v>0</v>
      </c>
      <c r="E34">
        <f t="shared" si="6"/>
        <v>0</v>
      </c>
      <c r="H34" s="78"/>
    </row>
    <row r="35" spans="1:8" x14ac:dyDescent="0.2">
      <c r="A35">
        <f t="shared" ref="A35:A98" si="8">A23*10</f>
        <v>120</v>
      </c>
      <c r="B35">
        <f t="shared" si="3"/>
        <v>0</v>
      </c>
      <c r="C35">
        <f t="shared" si="4"/>
        <v>0</v>
      </c>
      <c r="D35">
        <f t="shared" si="5"/>
        <v>0</v>
      </c>
      <c r="E35">
        <f t="shared" si="6"/>
        <v>0</v>
      </c>
      <c r="H35" s="78"/>
    </row>
    <row r="36" spans="1:8" x14ac:dyDescent="0.2">
      <c r="A36">
        <f t="shared" si="8"/>
        <v>150</v>
      </c>
      <c r="B36">
        <f t="shared" si="3"/>
        <v>0</v>
      </c>
      <c r="C36">
        <f t="shared" si="4"/>
        <v>0</v>
      </c>
      <c r="D36">
        <f t="shared" si="5"/>
        <v>0</v>
      </c>
      <c r="E36">
        <f t="shared" si="6"/>
        <v>0</v>
      </c>
    </row>
    <row r="37" spans="1:8" x14ac:dyDescent="0.2">
      <c r="A37">
        <f t="shared" si="8"/>
        <v>180</v>
      </c>
      <c r="B37">
        <f t="shared" si="3"/>
        <v>0</v>
      </c>
      <c r="C37">
        <f t="shared" si="4"/>
        <v>0</v>
      </c>
      <c r="D37">
        <f t="shared" si="5"/>
        <v>0</v>
      </c>
      <c r="E37">
        <f t="shared" si="6"/>
        <v>0</v>
      </c>
    </row>
    <row r="38" spans="1:8" x14ac:dyDescent="0.2">
      <c r="A38">
        <f t="shared" si="8"/>
        <v>220</v>
      </c>
      <c r="B38">
        <f t="shared" si="3"/>
        <v>0</v>
      </c>
      <c r="C38">
        <f t="shared" si="4"/>
        <v>0</v>
      </c>
      <c r="D38">
        <f t="shared" si="5"/>
        <v>0</v>
      </c>
      <c r="E38">
        <f t="shared" ref="E38:E69" si="9">IF(IF((E$3*10^12-$A39)*(E$3*10^12-$A38)*-1&lt;0,0,1)*IF(ABS(E$3*10^12-$A39)&gt;(E$3*10^12-$A38),$A38,$A39)=E39,0,IF((E$3*10^12-$A39)*(E$3*10^12-$A38)*-1&lt;0,0,1)*IF(ABS(E$3*10^12-$A39)&gt;(E$3*10^12-$A38),$A38,$A39))</f>
        <v>0</v>
      </c>
    </row>
    <row r="39" spans="1:8" x14ac:dyDescent="0.2">
      <c r="A39">
        <f t="shared" si="8"/>
        <v>270</v>
      </c>
      <c r="B39">
        <f t="shared" si="3"/>
        <v>0</v>
      </c>
      <c r="C39">
        <f t="shared" si="4"/>
        <v>0</v>
      </c>
      <c r="D39">
        <f t="shared" si="5"/>
        <v>0</v>
      </c>
      <c r="E39">
        <f t="shared" si="9"/>
        <v>0</v>
      </c>
    </row>
    <row r="40" spans="1:8" x14ac:dyDescent="0.2">
      <c r="A40">
        <f t="shared" si="8"/>
        <v>330</v>
      </c>
      <c r="B40">
        <f t="shared" si="3"/>
        <v>0</v>
      </c>
      <c r="C40">
        <f t="shared" si="4"/>
        <v>0</v>
      </c>
      <c r="D40">
        <f t="shared" si="5"/>
        <v>0</v>
      </c>
      <c r="E40">
        <f t="shared" si="9"/>
        <v>0</v>
      </c>
    </row>
    <row r="41" spans="1:8" x14ac:dyDescent="0.2">
      <c r="A41">
        <f t="shared" si="8"/>
        <v>390</v>
      </c>
      <c r="B41">
        <f t="shared" si="3"/>
        <v>0</v>
      </c>
      <c r="C41">
        <f t="shared" si="4"/>
        <v>0</v>
      </c>
      <c r="D41">
        <f t="shared" si="5"/>
        <v>0</v>
      </c>
      <c r="E41">
        <f t="shared" si="9"/>
        <v>0</v>
      </c>
    </row>
    <row r="42" spans="1:8" x14ac:dyDescent="0.2">
      <c r="A42">
        <f t="shared" si="8"/>
        <v>470</v>
      </c>
      <c r="B42">
        <f t="shared" si="3"/>
        <v>0</v>
      </c>
      <c r="C42">
        <f t="shared" si="4"/>
        <v>0</v>
      </c>
      <c r="D42">
        <f t="shared" si="5"/>
        <v>0</v>
      </c>
      <c r="E42">
        <f t="shared" si="9"/>
        <v>0</v>
      </c>
    </row>
    <row r="43" spans="1:8" x14ac:dyDescent="0.2">
      <c r="A43">
        <f t="shared" si="8"/>
        <v>560</v>
      </c>
      <c r="B43">
        <f t="shared" si="3"/>
        <v>0</v>
      </c>
      <c r="C43">
        <f t="shared" si="4"/>
        <v>0</v>
      </c>
      <c r="D43">
        <f t="shared" si="5"/>
        <v>0</v>
      </c>
      <c r="E43">
        <f t="shared" si="9"/>
        <v>0</v>
      </c>
    </row>
    <row r="44" spans="1:8" x14ac:dyDescent="0.2">
      <c r="A44">
        <f t="shared" si="8"/>
        <v>680</v>
      </c>
      <c r="B44">
        <f t="shared" si="3"/>
        <v>0</v>
      </c>
      <c r="C44">
        <f t="shared" si="4"/>
        <v>0</v>
      </c>
      <c r="D44">
        <f t="shared" si="5"/>
        <v>0</v>
      </c>
      <c r="E44">
        <f t="shared" si="9"/>
        <v>0</v>
      </c>
    </row>
    <row r="45" spans="1:8" x14ac:dyDescent="0.2">
      <c r="A45">
        <f>A33*10</f>
        <v>820</v>
      </c>
      <c r="B45">
        <f t="shared" si="3"/>
        <v>0</v>
      </c>
      <c r="C45">
        <f t="shared" si="4"/>
        <v>0</v>
      </c>
      <c r="D45">
        <f t="shared" si="5"/>
        <v>0</v>
      </c>
      <c r="E45">
        <f t="shared" si="9"/>
        <v>0</v>
      </c>
    </row>
    <row r="46" spans="1:8" x14ac:dyDescent="0.2">
      <c r="A46">
        <f t="shared" si="8"/>
        <v>1000</v>
      </c>
      <c r="B46">
        <f t="shared" si="3"/>
        <v>0</v>
      </c>
      <c r="C46">
        <f t="shared" si="4"/>
        <v>0</v>
      </c>
      <c r="D46">
        <f t="shared" si="5"/>
        <v>0</v>
      </c>
      <c r="E46">
        <f t="shared" si="9"/>
        <v>0</v>
      </c>
    </row>
    <row r="47" spans="1:8" x14ac:dyDescent="0.2">
      <c r="A47">
        <f t="shared" si="8"/>
        <v>1200</v>
      </c>
      <c r="B47">
        <f t="shared" si="3"/>
        <v>0</v>
      </c>
      <c r="C47">
        <f t="shared" si="4"/>
        <v>0</v>
      </c>
      <c r="D47">
        <f t="shared" si="5"/>
        <v>0</v>
      </c>
      <c r="E47">
        <f t="shared" si="9"/>
        <v>0</v>
      </c>
    </row>
    <row r="48" spans="1:8" x14ac:dyDescent="0.2">
      <c r="A48">
        <f t="shared" si="8"/>
        <v>1500</v>
      </c>
      <c r="B48">
        <f t="shared" si="3"/>
        <v>0</v>
      </c>
      <c r="C48">
        <f t="shared" si="4"/>
        <v>0</v>
      </c>
      <c r="D48">
        <f t="shared" si="5"/>
        <v>0</v>
      </c>
      <c r="E48">
        <f t="shared" si="9"/>
        <v>0</v>
      </c>
    </row>
    <row r="49" spans="1:5" x14ac:dyDescent="0.2">
      <c r="A49">
        <f t="shared" si="8"/>
        <v>1800</v>
      </c>
      <c r="B49">
        <f t="shared" si="3"/>
        <v>0</v>
      </c>
      <c r="C49">
        <f t="shared" si="4"/>
        <v>0</v>
      </c>
      <c r="D49">
        <f t="shared" si="5"/>
        <v>0</v>
      </c>
      <c r="E49">
        <f t="shared" si="9"/>
        <v>0</v>
      </c>
    </row>
    <row r="50" spans="1:5" x14ac:dyDescent="0.2">
      <c r="A50">
        <f t="shared" si="8"/>
        <v>2200</v>
      </c>
      <c r="B50">
        <f t="shared" si="3"/>
        <v>0</v>
      </c>
      <c r="C50">
        <f t="shared" si="4"/>
        <v>0</v>
      </c>
      <c r="D50">
        <f t="shared" si="5"/>
        <v>0</v>
      </c>
      <c r="E50">
        <f t="shared" si="9"/>
        <v>0</v>
      </c>
    </row>
    <row r="51" spans="1:5" x14ac:dyDescent="0.2">
      <c r="A51">
        <f t="shared" si="8"/>
        <v>2700</v>
      </c>
      <c r="B51">
        <f t="shared" si="3"/>
        <v>0</v>
      </c>
      <c r="C51">
        <f t="shared" si="4"/>
        <v>0</v>
      </c>
      <c r="D51">
        <f t="shared" si="5"/>
        <v>0</v>
      </c>
      <c r="E51">
        <f t="shared" si="9"/>
        <v>0</v>
      </c>
    </row>
    <row r="52" spans="1:5" x14ac:dyDescent="0.2">
      <c r="A52">
        <f t="shared" si="8"/>
        <v>3300</v>
      </c>
      <c r="B52">
        <f t="shared" si="3"/>
        <v>0</v>
      </c>
      <c r="C52">
        <f t="shared" si="4"/>
        <v>0</v>
      </c>
      <c r="D52">
        <f t="shared" si="5"/>
        <v>0</v>
      </c>
      <c r="E52">
        <f t="shared" si="9"/>
        <v>0</v>
      </c>
    </row>
    <row r="53" spans="1:5" x14ac:dyDescent="0.2">
      <c r="A53">
        <f t="shared" si="8"/>
        <v>3900</v>
      </c>
      <c r="B53">
        <f t="shared" si="3"/>
        <v>0</v>
      </c>
      <c r="C53">
        <f t="shared" si="4"/>
        <v>0</v>
      </c>
      <c r="D53">
        <f t="shared" si="5"/>
        <v>0</v>
      </c>
      <c r="E53">
        <f t="shared" si="9"/>
        <v>0</v>
      </c>
    </row>
    <row r="54" spans="1:5" x14ac:dyDescent="0.2">
      <c r="A54">
        <f t="shared" si="8"/>
        <v>4700</v>
      </c>
      <c r="B54">
        <f t="shared" si="3"/>
        <v>0</v>
      </c>
      <c r="C54">
        <f t="shared" si="4"/>
        <v>0</v>
      </c>
      <c r="D54">
        <f t="shared" si="5"/>
        <v>0</v>
      </c>
      <c r="E54">
        <f t="shared" si="9"/>
        <v>0</v>
      </c>
    </row>
    <row r="55" spans="1:5" x14ac:dyDescent="0.2">
      <c r="A55">
        <f t="shared" si="8"/>
        <v>5600</v>
      </c>
      <c r="B55">
        <f t="shared" si="3"/>
        <v>0</v>
      </c>
      <c r="C55">
        <f t="shared" si="4"/>
        <v>0</v>
      </c>
      <c r="D55">
        <f t="shared" si="5"/>
        <v>0</v>
      </c>
      <c r="E55">
        <f t="shared" si="9"/>
        <v>0</v>
      </c>
    </row>
    <row r="56" spans="1:5" x14ac:dyDescent="0.2">
      <c r="A56">
        <f t="shared" si="8"/>
        <v>6800</v>
      </c>
      <c r="B56">
        <f t="shared" si="3"/>
        <v>0</v>
      </c>
      <c r="C56">
        <f t="shared" si="4"/>
        <v>0</v>
      </c>
      <c r="D56">
        <f t="shared" si="5"/>
        <v>0</v>
      </c>
      <c r="E56">
        <f t="shared" si="9"/>
        <v>0</v>
      </c>
    </row>
    <row r="57" spans="1:5" x14ac:dyDescent="0.2">
      <c r="A57">
        <f t="shared" si="8"/>
        <v>8200</v>
      </c>
      <c r="B57">
        <f t="shared" si="3"/>
        <v>0</v>
      </c>
      <c r="C57">
        <f t="shared" si="4"/>
        <v>0</v>
      </c>
      <c r="D57">
        <f t="shared" si="5"/>
        <v>0</v>
      </c>
      <c r="E57">
        <f t="shared" si="9"/>
        <v>0</v>
      </c>
    </row>
    <row r="58" spans="1:5" x14ac:dyDescent="0.2">
      <c r="A58">
        <f t="shared" si="8"/>
        <v>10000</v>
      </c>
      <c r="B58">
        <f t="shared" si="3"/>
        <v>0</v>
      </c>
      <c r="C58">
        <f t="shared" si="4"/>
        <v>0</v>
      </c>
      <c r="D58">
        <f t="shared" si="5"/>
        <v>0</v>
      </c>
      <c r="E58">
        <f t="shared" si="9"/>
        <v>0</v>
      </c>
    </row>
    <row r="59" spans="1:5" x14ac:dyDescent="0.2">
      <c r="A59">
        <f t="shared" si="8"/>
        <v>12000</v>
      </c>
      <c r="B59">
        <f t="shared" si="3"/>
        <v>0</v>
      </c>
      <c r="C59">
        <f t="shared" si="4"/>
        <v>0</v>
      </c>
      <c r="D59">
        <f t="shared" si="5"/>
        <v>0</v>
      </c>
      <c r="E59">
        <f t="shared" si="9"/>
        <v>0</v>
      </c>
    </row>
    <row r="60" spans="1:5" x14ac:dyDescent="0.2">
      <c r="A60">
        <f t="shared" si="8"/>
        <v>15000</v>
      </c>
      <c r="B60">
        <f t="shared" si="3"/>
        <v>0</v>
      </c>
      <c r="C60">
        <f t="shared" si="4"/>
        <v>0</v>
      </c>
      <c r="D60">
        <f t="shared" si="5"/>
        <v>0</v>
      </c>
      <c r="E60">
        <f t="shared" si="9"/>
        <v>0</v>
      </c>
    </row>
    <row r="61" spans="1:5" x14ac:dyDescent="0.2">
      <c r="A61">
        <f t="shared" si="8"/>
        <v>18000</v>
      </c>
      <c r="B61">
        <f t="shared" si="3"/>
        <v>0</v>
      </c>
      <c r="C61">
        <f t="shared" si="4"/>
        <v>0</v>
      </c>
      <c r="D61">
        <f t="shared" si="5"/>
        <v>0</v>
      </c>
      <c r="E61">
        <f t="shared" si="9"/>
        <v>0</v>
      </c>
    </row>
    <row r="62" spans="1:5" x14ac:dyDescent="0.2">
      <c r="A62">
        <f t="shared" si="8"/>
        <v>22000</v>
      </c>
      <c r="B62">
        <f t="shared" si="3"/>
        <v>0</v>
      </c>
      <c r="C62">
        <f t="shared" si="4"/>
        <v>0</v>
      </c>
      <c r="D62">
        <f t="shared" si="5"/>
        <v>0</v>
      </c>
      <c r="E62">
        <f t="shared" si="9"/>
        <v>0</v>
      </c>
    </row>
    <row r="63" spans="1:5" x14ac:dyDescent="0.2">
      <c r="A63">
        <f t="shared" si="8"/>
        <v>27000</v>
      </c>
      <c r="B63">
        <f t="shared" si="3"/>
        <v>0</v>
      </c>
      <c r="C63">
        <f t="shared" si="4"/>
        <v>0</v>
      </c>
      <c r="D63">
        <f t="shared" si="5"/>
        <v>0</v>
      </c>
      <c r="E63">
        <f t="shared" si="9"/>
        <v>0</v>
      </c>
    </row>
    <row r="64" spans="1:5" x14ac:dyDescent="0.2">
      <c r="A64">
        <f t="shared" si="8"/>
        <v>33000</v>
      </c>
      <c r="B64">
        <f t="shared" si="3"/>
        <v>0</v>
      </c>
      <c r="C64">
        <f t="shared" si="4"/>
        <v>0</v>
      </c>
      <c r="D64">
        <f t="shared" si="5"/>
        <v>0</v>
      </c>
      <c r="E64">
        <f t="shared" si="9"/>
        <v>0</v>
      </c>
    </row>
    <row r="65" spans="1:5" x14ac:dyDescent="0.2">
      <c r="A65">
        <f t="shared" si="8"/>
        <v>39000</v>
      </c>
      <c r="B65">
        <f t="shared" si="3"/>
        <v>47000</v>
      </c>
      <c r="C65">
        <f t="shared" si="4"/>
        <v>0</v>
      </c>
      <c r="D65">
        <f t="shared" si="5"/>
        <v>0</v>
      </c>
      <c r="E65">
        <f t="shared" si="9"/>
        <v>0</v>
      </c>
    </row>
    <row r="66" spans="1:5" x14ac:dyDescent="0.2">
      <c r="A66">
        <f t="shared" si="8"/>
        <v>47000</v>
      </c>
      <c r="B66">
        <f t="shared" si="3"/>
        <v>0</v>
      </c>
      <c r="C66">
        <f t="shared" si="4"/>
        <v>0</v>
      </c>
      <c r="D66">
        <f t="shared" si="5"/>
        <v>0</v>
      </c>
      <c r="E66">
        <f t="shared" si="9"/>
        <v>0</v>
      </c>
    </row>
    <row r="67" spans="1:5" x14ac:dyDescent="0.2">
      <c r="A67">
        <f t="shared" si="8"/>
        <v>56000</v>
      </c>
      <c r="B67">
        <f t="shared" si="3"/>
        <v>0</v>
      </c>
      <c r="C67">
        <f t="shared" si="4"/>
        <v>0</v>
      </c>
      <c r="D67">
        <f t="shared" si="5"/>
        <v>0</v>
      </c>
      <c r="E67">
        <f t="shared" si="9"/>
        <v>0</v>
      </c>
    </row>
    <row r="68" spans="1:5" x14ac:dyDescent="0.2">
      <c r="A68">
        <f t="shared" si="8"/>
        <v>68000</v>
      </c>
      <c r="B68">
        <f t="shared" si="3"/>
        <v>0</v>
      </c>
      <c r="C68">
        <f t="shared" si="4"/>
        <v>0</v>
      </c>
      <c r="D68">
        <f t="shared" si="5"/>
        <v>0</v>
      </c>
      <c r="E68">
        <f t="shared" si="9"/>
        <v>0</v>
      </c>
    </row>
    <row r="69" spans="1:5" x14ac:dyDescent="0.2">
      <c r="A69">
        <f t="shared" si="8"/>
        <v>82000</v>
      </c>
      <c r="B69">
        <f t="shared" si="3"/>
        <v>0</v>
      </c>
      <c r="C69">
        <f t="shared" si="4"/>
        <v>0</v>
      </c>
      <c r="D69">
        <f t="shared" si="5"/>
        <v>0</v>
      </c>
      <c r="E69">
        <f t="shared" si="9"/>
        <v>0</v>
      </c>
    </row>
    <row r="70" spans="1:5" x14ac:dyDescent="0.2">
      <c r="A70">
        <f t="shared" si="8"/>
        <v>100000</v>
      </c>
      <c r="B70">
        <f t="shared" si="3"/>
        <v>0</v>
      </c>
      <c r="C70">
        <f t="shared" ref="C70:D70" si="10">IF(IF((C$3*10^12-$A71)*(C$3*10^12-$A70)*-1&lt;0,0,1)*IF(ABS(C$3*10^12-$A71)&gt;(C$3*10^12-$A70),$A70,$A71)=C71,0,IF((C$3*10^12-$A71)*(C$3*10^12-$A70)*-1&lt;0,0,1)*IF(ABS(C$3*10^12-$A71)&gt;(C$3*10^12-$A70),$A70,$A71))</f>
        <v>0</v>
      </c>
      <c r="D70">
        <f t="shared" si="10"/>
        <v>0</v>
      </c>
      <c r="E70">
        <f t="shared" ref="E70:E101" si="11">IF(IF((E$3*10^12-$A71)*(E$3*10^12-$A70)*-1&lt;0,0,1)*IF(ABS(E$3*10^12-$A71)&gt;(E$3*10^12-$A70),$A70,$A71)=E71,0,IF((E$3*10^12-$A71)*(E$3*10^12-$A70)*-1&lt;0,0,1)*IF(ABS(E$3*10^12-$A71)&gt;(E$3*10^12-$A70),$A70,$A71))</f>
        <v>0</v>
      </c>
    </row>
    <row r="71" spans="1:5" x14ac:dyDescent="0.2">
      <c r="A71">
        <f t="shared" si="8"/>
        <v>120000</v>
      </c>
      <c r="B71">
        <f t="shared" ref="B71:B134" si="12">IF(IF((B$3*10^12-$A72)*(B$3*10^12-$A71)*-1&lt;0,0,1)*IF(ABS(B$3*10^12-$A72)&gt;(B$3*10^12-$A71),$A71,$A72)=B72,0,IF((B$3*10^12-$A72)*(B$3*10^12-$A71)*-1&lt;0,0,1)*IF(ABS(B$3*10^12-$A72)&gt;(B$3*10^12-$A71),$A71,$A72))</f>
        <v>0</v>
      </c>
      <c r="C71">
        <f t="shared" ref="C71:C133" si="13">IF(IF((C$3*10^12-$A72)*(C$3*10^12-$A71)*-1&lt;0,0,1)*IF(ABS(C$3*10^12-$A72)&gt;(C$3*10^12-$A71),$A71,$A72)=C72,0,IF((C$3*10^12-$A72)*(C$3*10^12-$A71)*-1&lt;0,0,1)*IF(ABS(C$3*10^12-$A72)&gt;(C$3*10^12-$A71),$A71,$A72))</f>
        <v>0</v>
      </c>
      <c r="D71">
        <f t="shared" ref="D71:D102" si="14">IF(IF((D$3*10^12-$A72)*(D$3*10^12-$A71)*-1&lt;0,0,1)*IF(ABS(D$3*10^12-$A72)&gt;(D$3*10^12-$A71),$A71,$A72)=D72,0,IF((D$3*10^12-$A72)*(D$3*10^12-$A71)*-1&lt;0,0,1)*IF(ABS(D$3*10^12-$A72)&gt;(D$3*10^12-$A71),$A71,$A72))</f>
        <v>0</v>
      </c>
      <c r="E71">
        <f t="shared" si="11"/>
        <v>0</v>
      </c>
    </row>
    <row r="72" spans="1:5" x14ac:dyDescent="0.2">
      <c r="A72">
        <f t="shared" si="8"/>
        <v>150000</v>
      </c>
      <c r="B72">
        <f t="shared" si="12"/>
        <v>0</v>
      </c>
      <c r="C72">
        <f t="shared" si="13"/>
        <v>0</v>
      </c>
      <c r="D72">
        <f t="shared" si="14"/>
        <v>0</v>
      </c>
      <c r="E72">
        <f t="shared" si="11"/>
        <v>0</v>
      </c>
    </row>
    <row r="73" spans="1:5" x14ac:dyDescent="0.2">
      <c r="A73">
        <f t="shared" si="8"/>
        <v>180000</v>
      </c>
      <c r="B73">
        <f t="shared" si="12"/>
        <v>0</v>
      </c>
      <c r="C73">
        <f t="shared" si="13"/>
        <v>0</v>
      </c>
      <c r="D73">
        <f t="shared" si="14"/>
        <v>0</v>
      </c>
      <c r="E73">
        <f t="shared" si="11"/>
        <v>0</v>
      </c>
    </row>
    <row r="74" spans="1:5" x14ac:dyDescent="0.2">
      <c r="A74">
        <f t="shared" si="8"/>
        <v>220000</v>
      </c>
      <c r="B74">
        <f t="shared" si="12"/>
        <v>0</v>
      </c>
      <c r="C74">
        <f t="shared" si="13"/>
        <v>0</v>
      </c>
      <c r="D74">
        <f t="shared" si="14"/>
        <v>0</v>
      </c>
      <c r="E74">
        <f t="shared" si="11"/>
        <v>0</v>
      </c>
    </row>
    <row r="75" spans="1:5" x14ac:dyDescent="0.2">
      <c r="A75">
        <f t="shared" si="8"/>
        <v>270000</v>
      </c>
      <c r="B75">
        <f t="shared" si="12"/>
        <v>0</v>
      </c>
      <c r="C75">
        <f t="shared" si="13"/>
        <v>0</v>
      </c>
      <c r="D75">
        <f t="shared" si="14"/>
        <v>0</v>
      </c>
      <c r="E75">
        <f t="shared" si="11"/>
        <v>0</v>
      </c>
    </row>
    <row r="76" spans="1:5" x14ac:dyDescent="0.2">
      <c r="A76">
        <f t="shared" si="8"/>
        <v>330000</v>
      </c>
      <c r="B76">
        <f t="shared" si="12"/>
        <v>0</v>
      </c>
      <c r="C76">
        <f t="shared" si="13"/>
        <v>0</v>
      </c>
      <c r="D76">
        <f t="shared" si="14"/>
        <v>0</v>
      </c>
      <c r="E76">
        <f t="shared" si="11"/>
        <v>0</v>
      </c>
    </row>
    <row r="77" spans="1:5" x14ac:dyDescent="0.2">
      <c r="A77">
        <f t="shared" si="8"/>
        <v>390000</v>
      </c>
      <c r="B77">
        <f t="shared" si="12"/>
        <v>0</v>
      </c>
      <c r="C77">
        <f t="shared" si="13"/>
        <v>0</v>
      </c>
      <c r="D77">
        <f t="shared" si="14"/>
        <v>0</v>
      </c>
      <c r="E77">
        <f t="shared" si="11"/>
        <v>0</v>
      </c>
    </row>
    <row r="78" spans="1:5" x14ac:dyDescent="0.2">
      <c r="A78">
        <f t="shared" si="8"/>
        <v>470000</v>
      </c>
      <c r="B78">
        <f t="shared" si="12"/>
        <v>0</v>
      </c>
      <c r="C78">
        <f t="shared" si="13"/>
        <v>0</v>
      </c>
      <c r="D78">
        <f t="shared" si="14"/>
        <v>0</v>
      </c>
      <c r="E78">
        <f t="shared" si="11"/>
        <v>0</v>
      </c>
    </row>
    <row r="79" spans="1:5" x14ac:dyDescent="0.2">
      <c r="A79">
        <f t="shared" si="8"/>
        <v>560000</v>
      </c>
      <c r="B79">
        <f t="shared" si="12"/>
        <v>0</v>
      </c>
      <c r="C79">
        <f t="shared" si="13"/>
        <v>0</v>
      </c>
      <c r="D79">
        <f t="shared" si="14"/>
        <v>0</v>
      </c>
      <c r="E79">
        <f t="shared" si="11"/>
        <v>0</v>
      </c>
    </row>
    <row r="80" spans="1:5" x14ac:dyDescent="0.2">
      <c r="A80">
        <f t="shared" si="8"/>
        <v>680000</v>
      </c>
      <c r="B80">
        <f t="shared" si="12"/>
        <v>0</v>
      </c>
      <c r="C80">
        <f t="shared" si="13"/>
        <v>0</v>
      </c>
      <c r="D80">
        <f t="shared" si="14"/>
        <v>0</v>
      </c>
      <c r="E80">
        <f t="shared" si="11"/>
        <v>0</v>
      </c>
    </row>
    <row r="81" spans="1:5" x14ac:dyDescent="0.2">
      <c r="A81">
        <f t="shared" si="8"/>
        <v>820000</v>
      </c>
      <c r="B81">
        <f t="shared" si="12"/>
        <v>0</v>
      </c>
      <c r="C81">
        <f t="shared" si="13"/>
        <v>0</v>
      </c>
      <c r="D81">
        <f t="shared" si="14"/>
        <v>0</v>
      </c>
      <c r="E81">
        <f t="shared" si="11"/>
        <v>0</v>
      </c>
    </row>
    <row r="82" spans="1:5" x14ac:dyDescent="0.2">
      <c r="A82">
        <f t="shared" si="8"/>
        <v>1000000</v>
      </c>
      <c r="B82">
        <f t="shared" si="12"/>
        <v>0</v>
      </c>
      <c r="C82">
        <f t="shared" si="13"/>
        <v>0</v>
      </c>
      <c r="D82">
        <f t="shared" si="14"/>
        <v>0</v>
      </c>
      <c r="E82">
        <f t="shared" si="11"/>
        <v>0</v>
      </c>
    </row>
    <row r="83" spans="1:5" x14ac:dyDescent="0.2">
      <c r="A83">
        <f t="shared" si="8"/>
        <v>1200000</v>
      </c>
      <c r="B83">
        <f t="shared" si="12"/>
        <v>0</v>
      </c>
      <c r="C83">
        <f t="shared" si="13"/>
        <v>0</v>
      </c>
      <c r="D83">
        <f t="shared" si="14"/>
        <v>0</v>
      </c>
      <c r="E83">
        <f t="shared" si="11"/>
        <v>0</v>
      </c>
    </row>
    <row r="84" spans="1:5" x14ac:dyDescent="0.2">
      <c r="A84">
        <f t="shared" si="8"/>
        <v>1500000</v>
      </c>
      <c r="B84">
        <f t="shared" si="12"/>
        <v>0</v>
      </c>
      <c r="C84">
        <f t="shared" si="13"/>
        <v>0</v>
      </c>
      <c r="D84">
        <f t="shared" si="14"/>
        <v>0</v>
      </c>
      <c r="E84">
        <f t="shared" si="11"/>
        <v>0</v>
      </c>
    </row>
    <row r="85" spans="1:5" x14ac:dyDescent="0.2">
      <c r="A85">
        <f t="shared" si="8"/>
        <v>1800000</v>
      </c>
      <c r="B85">
        <f t="shared" si="12"/>
        <v>0</v>
      </c>
      <c r="C85">
        <f t="shared" si="13"/>
        <v>0</v>
      </c>
      <c r="D85">
        <f t="shared" si="14"/>
        <v>0</v>
      </c>
      <c r="E85">
        <f t="shared" si="11"/>
        <v>0</v>
      </c>
    </row>
    <row r="86" spans="1:5" x14ac:dyDescent="0.2">
      <c r="A86">
        <f t="shared" si="8"/>
        <v>2200000</v>
      </c>
      <c r="B86">
        <f t="shared" si="12"/>
        <v>0</v>
      </c>
      <c r="C86">
        <f t="shared" si="13"/>
        <v>0</v>
      </c>
      <c r="D86">
        <f t="shared" si="14"/>
        <v>0</v>
      </c>
      <c r="E86">
        <f t="shared" si="11"/>
        <v>0</v>
      </c>
    </row>
    <row r="87" spans="1:5" x14ac:dyDescent="0.2">
      <c r="A87">
        <f t="shared" si="8"/>
        <v>2700000</v>
      </c>
      <c r="B87">
        <f t="shared" si="12"/>
        <v>0</v>
      </c>
      <c r="C87">
        <f t="shared" si="13"/>
        <v>0</v>
      </c>
      <c r="D87">
        <f t="shared" si="14"/>
        <v>0</v>
      </c>
      <c r="E87">
        <f t="shared" si="11"/>
        <v>0</v>
      </c>
    </row>
    <row r="88" spans="1:5" x14ac:dyDescent="0.2">
      <c r="A88">
        <f t="shared" si="8"/>
        <v>3300000</v>
      </c>
      <c r="B88">
        <f t="shared" si="12"/>
        <v>0</v>
      </c>
      <c r="C88">
        <f t="shared" si="13"/>
        <v>0</v>
      </c>
      <c r="D88">
        <f t="shared" si="14"/>
        <v>0</v>
      </c>
      <c r="E88">
        <f t="shared" si="11"/>
        <v>0</v>
      </c>
    </row>
    <row r="89" spans="1:5" x14ac:dyDescent="0.2">
      <c r="A89">
        <f t="shared" si="8"/>
        <v>3900000</v>
      </c>
      <c r="B89">
        <f t="shared" si="12"/>
        <v>0</v>
      </c>
      <c r="C89">
        <f t="shared" si="13"/>
        <v>0</v>
      </c>
      <c r="D89">
        <f t="shared" si="14"/>
        <v>0</v>
      </c>
      <c r="E89">
        <f t="shared" si="11"/>
        <v>0</v>
      </c>
    </row>
    <row r="90" spans="1:5" x14ac:dyDescent="0.2">
      <c r="A90">
        <f t="shared" si="8"/>
        <v>4700000</v>
      </c>
      <c r="B90">
        <f t="shared" si="12"/>
        <v>0</v>
      </c>
      <c r="C90">
        <f t="shared" si="13"/>
        <v>0</v>
      </c>
      <c r="D90">
        <f t="shared" si="14"/>
        <v>0</v>
      </c>
      <c r="E90">
        <f t="shared" si="11"/>
        <v>0</v>
      </c>
    </row>
    <row r="91" spans="1:5" x14ac:dyDescent="0.2">
      <c r="A91">
        <f t="shared" si="8"/>
        <v>5600000</v>
      </c>
      <c r="B91">
        <f t="shared" si="12"/>
        <v>0</v>
      </c>
      <c r="C91">
        <f t="shared" si="13"/>
        <v>0</v>
      </c>
      <c r="D91">
        <f t="shared" si="14"/>
        <v>0</v>
      </c>
      <c r="E91">
        <f t="shared" si="11"/>
        <v>0</v>
      </c>
    </row>
    <row r="92" spans="1:5" x14ac:dyDescent="0.2">
      <c r="A92">
        <f t="shared" si="8"/>
        <v>6800000</v>
      </c>
      <c r="B92">
        <f t="shared" si="12"/>
        <v>0</v>
      </c>
      <c r="C92">
        <f t="shared" si="13"/>
        <v>0</v>
      </c>
      <c r="D92">
        <f t="shared" si="14"/>
        <v>0</v>
      </c>
      <c r="E92">
        <f t="shared" si="11"/>
        <v>0</v>
      </c>
    </row>
    <row r="93" spans="1:5" x14ac:dyDescent="0.2">
      <c r="A93">
        <f t="shared" si="8"/>
        <v>8200000</v>
      </c>
      <c r="B93">
        <f t="shared" si="12"/>
        <v>0</v>
      </c>
      <c r="C93">
        <f t="shared" si="13"/>
        <v>0</v>
      </c>
      <c r="D93">
        <f t="shared" si="14"/>
        <v>0</v>
      </c>
      <c r="E93">
        <f t="shared" si="11"/>
        <v>0</v>
      </c>
    </row>
    <row r="94" spans="1:5" x14ac:dyDescent="0.2">
      <c r="A94">
        <f t="shared" si="8"/>
        <v>10000000</v>
      </c>
      <c r="B94">
        <f t="shared" si="12"/>
        <v>0</v>
      </c>
      <c r="C94">
        <f t="shared" si="13"/>
        <v>0</v>
      </c>
      <c r="D94">
        <f t="shared" si="14"/>
        <v>0</v>
      </c>
      <c r="E94">
        <f t="shared" si="11"/>
        <v>0</v>
      </c>
    </row>
    <row r="95" spans="1:5" x14ac:dyDescent="0.2">
      <c r="A95">
        <f t="shared" si="8"/>
        <v>12000000</v>
      </c>
      <c r="B95">
        <f t="shared" si="12"/>
        <v>0</v>
      </c>
      <c r="C95">
        <f t="shared" si="13"/>
        <v>0</v>
      </c>
      <c r="D95">
        <f t="shared" si="14"/>
        <v>0</v>
      </c>
      <c r="E95">
        <f t="shared" si="11"/>
        <v>0</v>
      </c>
    </row>
    <row r="96" spans="1:5" x14ac:dyDescent="0.2">
      <c r="A96">
        <f t="shared" si="8"/>
        <v>15000000</v>
      </c>
      <c r="B96">
        <f t="shared" si="12"/>
        <v>0</v>
      </c>
      <c r="C96">
        <f t="shared" si="13"/>
        <v>0</v>
      </c>
      <c r="D96">
        <f t="shared" si="14"/>
        <v>0</v>
      </c>
      <c r="E96">
        <f t="shared" si="11"/>
        <v>0</v>
      </c>
    </row>
    <row r="97" spans="1:5" x14ac:dyDescent="0.2">
      <c r="A97">
        <f t="shared" si="8"/>
        <v>18000000</v>
      </c>
      <c r="B97">
        <f t="shared" si="12"/>
        <v>0</v>
      </c>
      <c r="C97">
        <f t="shared" si="13"/>
        <v>0</v>
      </c>
      <c r="D97">
        <f t="shared" si="14"/>
        <v>0</v>
      </c>
      <c r="E97">
        <f t="shared" si="11"/>
        <v>0</v>
      </c>
    </row>
    <row r="98" spans="1:5" x14ac:dyDescent="0.2">
      <c r="A98">
        <f t="shared" si="8"/>
        <v>22000000</v>
      </c>
      <c r="B98">
        <f t="shared" si="12"/>
        <v>0</v>
      </c>
      <c r="C98">
        <f t="shared" si="13"/>
        <v>0</v>
      </c>
      <c r="D98">
        <f t="shared" si="14"/>
        <v>0</v>
      </c>
      <c r="E98">
        <f t="shared" si="11"/>
        <v>0</v>
      </c>
    </row>
    <row r="99" spans="1:5" x14ac:dyDescent="0.2">
      <c r="A99">
        <f t="shared" ref="A99:A159" si="15">A87*10</f>
        <v>27000000</v>
      </c>
      <c r="B99">
        <f t="shared" si="12"/>
        <v>0</v>
      </c>
      <c r="C99">
        <f t="shared" si="13"/>
        <v>0</v>
      </c>
      <c r="D99">
        <f t="shared" si="14"/>
        <v>0</v>
      </c>
      <c r="E99">
        <f t="shared" si="11"/>
        <v>0</v>
      </c>
    </row>
    <row r="100" spans="1:5" x14ac:dyDescent="0.2">
      <c r="A100">
        <f t="shared" si="15"/>
        <v>33000000</v>
      </c>
      <c r="B100">
        <f t="shared" si="12"/>
        <v>0</v>
      </c>
      <c r="C100">
        <f t="shared" si="13"/>
        <v>0</v>
      </c>
      <c r="D100">
        <f t="shared" si="14"/>
        <v>0</v>
      </c>
      <c r="E100">
        <f t="shared" si="11"/>
        <v>0</v>
      </c>
    </row>
    <row r="101" spans="1:5" x14ac:dyDescent="0.2">
      <c r="A101">
        <f t="shared" si="15"/>
        <v>39000000</v>
      </c>
      <c r="B101">
        <f t="shared" si="12"/>
        <v>0</v>
      </c>
      <c r="C101">
        <f t="shared" si="13"/>
        <v>0</v>
      </c>
      <c r="D101">
        <f t="shared" si="14"/>
        <v>0</v>
      </c>
      <c r="E101">
        <f t="shared" si="11"/>
        <v>0</v>
      </c>
    </row>
    <row r="102" spans="1:5" x14ac:dyDescent="0.2">
      <c r="A102">
        <f t="shared" si="15"/>
        <v>47000000</v>
      </c>
      <c r="B102">
        <f t="shared" si="12"/>
        <v>0</v>
      </c>
      <c r="C102">
        <f t="shared" si="13"/>
        <v>0</v>
      </c>
      <c r="D102">
        <f t="shared" si="14"/>
        <v>0</v>
      </c>
      <c r="E102">
        <f t="shared" ref="E102:E133" si="16">IF(IF((E$3*10^12-$A103)*(E$3*10^12-$A102)*-1&lt;0,0,1)*IF(ABS(E$3*10^12-$A103)&gt;(E$3*10^12-$A102),$A102,$A103)=E103,0,IF((E$3*10^12-$A103)*(E$3*10^12-$A102)*-1&lt;0,0,1)*IF(ABS(E$3*10^12-$A103)&gt;(E$3*10^12-$A102),$A102,$A103))</f>
        <v>0</v>
      </c>
    </row>
    <row r="103" spans="1:5" x14ac:dyDescent="0.2">
      <c r="A103">
        <f t="shared" si="15"/>
        <v>56000000</v>
      </c>
      <c r="B103">
        <f t="shared" si="12"/>
        <v>0</v>
      </c>
      <c r="C103">
        <f t="shared" si="13"/>
        <v>0</v>
      </c>
      <c r="D103">
        <f t="shared" ref="D103:D134" si="17">IF(IF((D$3*10^12-$A104)*(D$3*10^12-$A103)*-1&lt;0,0,1)*IF(ABS(D$3*10^12-$A104)&gt;(D$3*10^12-$A103),$A103,$A104)=D104,0,IF((D$3*10^12-$A104)*(D$3*10^12-$A103)*-1&lt;0,0,1)*IF(ABS(D$3*10^12-$A104)&gt;(D$3*10^12-$A103),$A103,$A104))</f>
        <v>0</v>
      </c>
      <c r="E103">
        <f t="shared" si="16"/>
        <v>0</v>
      </c>
    </row>
    <row r="104" spans="1:5" x14ac:dyDescent="0.2">
      <c r="A104">
        <f t="shared" si="15"/>
        <v>68000000</v>
      </c>
      <c r="B104">
        <f t="shared" si="12"/>
        <v>0</v>
      </c>
      <c r="C104">
        <f t="shared" si="13"/>
        <v>0</v>
      </c>
      <c r="D104">
        <f t="shared" si="17"/>
        <v>0</v>
      </c>
      <c r="E104">
        <f t="shared" si="16"/>
        <v>0</v>
      </c>
    </row>
    <row r="105" spans="1:5" x14ac:dyDescent="0.2">
      <c r="A105">
        <f t="shared" si="15"/>
        <v>82000000</v>
      </c>
      <c r="B105">
        <f t="shared" si="12"/>
        <v>0</v>
      </c>
      <c r="C105">
        <f t="shared" si="13"/>
        <v>0</v>
      </c>
      <c r="D105">
        <f t="shared" si="17"/>
        <v>0</v>
      </c>
      <c r="E105">
        <f t="shared" si="16"/>
        <v>0</v>
      </c>
    </row>
    <row r="106" spans="1:5" x14ac:dyDescent="0.2">
      <c r="A106">
        <f t="shared" si="15"/>
        <v>100000000</v>
      </c>
      <c r="B106">
        <f t="shared" si="12"/>
        <v>0</v>
      </c>
      <c r="C106">
        <f t="shared" si="13"/>
        <v>0</v>
      </c>
      <c r="D106">
        <f t="shared" si="17"/>
        <v>0</v>
      </c>
      <c r="E106">
        <f t="shared" si="16"/>
        <v>0</v>
      </c>
    </row>
    <row r="107" spans="1:5" x14ac:dyDescent="0.2">
      <c r="A107">
        <f t="shared" si="15"/>
        <v>120000000</v>
      </c>
      <c r="B107">
        <f t="shared" si="12"/>
        <v>0</v>
      </c>
      <c r="C107">
        <f t="shared" si="13"/>
        <v>0</v>
      </c>
      <c r="D107">
        <f t="shared" si="17"/>
        <v>0</v>
      </c>
      <c r="E107">
        <f t="shared" si="16"/>
        <v>0</v>
      </c>
    </row>
    <row r="108" spans="1:5" x14ac:dyDescent="0.2">
      <c r="A108">
        <f t="shared" si="15"/>
        <v>150000000</v>
      </c>
      <c r="B108">
        <f t="shared" si="12"/>
        <v>0</v>
      </c>
      <c r="C108">
        <f t="shared" si="13"/>
        <v>0</v>
      </c>
      <c r="D108">
        <f t="shared" si="17"/>
        <v>0</v>
      </c>
      <c r="E108">
        <f t="shared" si="16"/>
        <v>0</v>
      </c>
    </row>
    <row r="109" spans="1:5" x14ac:dyDescent="0.2">
      <c r="A109">
        <f t="shared" si="15"/>
        <v>180000000</v>
      </c>
      <c r="B109">
        <f t="shared" si="12"/>
        <v>0</v>
      </c>
      <c r="C109">
        <f t="shared" si="13"/>
        <v>0</v>
      </c>
      <c r="D109">
        <f t="shared" si="17"/>
        <v>0</v>
      </c>
      <c r="E109">
        <f t="shared" si="16"/>
        <v>0</v>
      </c>
    </row>
    <row r="110" spans="1:5" x14ac:dyDescent="0.2">
      <c r="A110">
        <f t="shared" si="15"/>
        <v>220000000</v>
      </c>
      <c r="B110">
        <f t="shared" si="12"/>
        <v>0</v>
      </c>
      <c r="C110">
        <f t="shared" si="13"/>
        <v>0</v>
      </c>
      <c r="D110">
        <f t="shared" si="17"/>
        <v>0</v>
      </c>
      <c r="E110">
        <f t="shared" si="16"/>
        <v>0</v>
      </c>
    </row>
    <row r="111" spans="1:5" x14ac:dyDescent="0.2">
      <c r="A111">
        <f t="shared" si="15"/>
        <v>270000000</v>
      </c>
      <c r="B111">
        <f t="shared" si="12"/>
        <v>0</v>
      </c>
      <c r="C111">
        <f t="shared" si="13"/>
        <v>0</v>
      </c>
      <c r="D111">
        <f t="shared" si="17"/>
        <v>0</v>
      </c>
      <c r="E111">
        <f t="shared" si="16"/>
        <v>0</v>
      </c>
    </row>
    <row r="112" spans="1:5" x14ac:dyDescent="0.2">
      <c r="A112">
        <f t="shared" si="15"/>
        <v>330000000</v>
      </c>
      <c r="B112">
        <f t="shared" si="12"/>
        <v>0</v>
      </c>
      <c r="C112">
        <f t="shared" si="13"/>
        <v>0</v>
      </c>
      <c r="D112">
        <f t="shared" si="17"/>
        <v>0</v>
      </c>
      <c r="E112">
        <f t="shared" si="16"/>
        <v>0</v>
      </c>
    </row>
    <row r="113" spans="1:5" x14ac:dyDescent="0.2">
      <c r="A113">
        <f t="shared" si="15"/>
        <v>390000000</v>
      </c>
      <c r="B113">
        <f t="shared" si="12"/>
        <v>0</v>
      </c>
      <c r="C113">
        <f t="shared" si="13"/>
        <v>0</v>
      </c>
      <c r="D113">
        <f t="shared" si="17"/>
        <v>0</v>
      </c>
      <c r="E113">
        <f t="shared" si="16"/>
        <v>0</v>
      </c>
    </row>
    <row r="114" spans="1:5" x14ac:dyDescent="0.2">
      <c r="A114">
        <f t="shared" si="15"/>
        <v>470000000</v>
      </c>
      <c r="B114">
        <f t="shared" si="12"/>
        <v>0</v>
      </c>
      <c r="C114">
        <f t="shared" si="13"/>
        <v>0</v>
      </c>
      <c r="D114">
        <f t="shared" si="17"/>
        <v>0</v>
      </c>
      <c r="E114">
        <f t="shared" si="16"/>
        <v>0</v>
      </c>
    </row>
    <row r="115" spans="1:5" x14ac:dyDescent="0.2">
      <c r="A115">
        <f t="shared" si="15"/>
        <v>560000000</v>
      </c>
      <c r="B115">
        <f t="shared" si="12"/>
        <v>0</v>
      </c>
      <c r="C115">
        <f t="shared" si="13"/>
        <v>0</v>
      </c>
      <c r="D115">
        <f t="shared" si="17"/>
        <v>0</v>
      </c>
      <c r="E115">
        <f t="shared" si="16"/>
        <v>0</v>
      </c>
    </row>
    <row r="116" spans="1:5" x14ac:dyDescent="0.2">
      <c r="A116">
        <f t="shared" si="15"/>
        <v>680000000</v>
      </c>
      <c r="B116">
        <f t="shared" si="12"/>
        <v>0</v>
      </c>
      <c r="C116">
        <f t="shared" si="13"/>
        <v>0</v>
      </c>
      <c r="D116">
        <f t="shared" si="17"/>
        <v>0</v>
      </c>
      <c r="E116">
        <f t="shared" si="16"/>
        <v>0</v>
      </c>
    </row>
    <row r="117" spans="1:5" x14ac:dyDescent="0.2">
      <c r="A117">
        <f t="shared" si="15"/>
        <v>820000000</v>
      </c>
      <c r="B117">
        <f t="shared" si="12"/>
        <v>0</v>
      </c>
      <c r="C117">
        <f t="shared" si="13"/>
        <v>0</v>
      </c>
      <c r="D117">
        <f t="shared" si="17"/>
        <v>0</v>
      </c>
      <c r="E117">
        <f t="shared" si="16"/>
        <v>0</v>
      </c>
    </row>
    <row r="118" spans="1:5" x14ac:dyDescent="0.2">
      <c r="A118">
        <f t="shared" si="15"/>
        <v>1000000000</v>
      </c>
      <c r="B118">
        <f t="shared" si="12"/>
        <v>0</v>
      </c>
      <c r="C118">
        <f t="shared" si="13"/>
        <v>0</v>
      </c>
      <c r="D118">
        <f t="shared" si="17"/>
        <v>0</v>
      </c>
      <c r="E118">
        <f t="shared" si="16"/>
        <v>0</v>
      </c>
    </row>
    <row r="119" spans="1:5" x14ac:dyDescent="0.2">
      <c r="A119">
        <f t="shared" si="15"/>
        <v>1200000000</v>
      </c>
      <c r="B119">
        <f t="shared" si="12"/>
        <v>0</v>
      </c>
      <c r="C119">
        <f t="shared" si="13"/>
        <v>0</v>
      </c>
      <c r="D119">
        <f t="shared" si="17"/>
        <v>0</v>
      </c>
      <c r="E119">
        <f t="shared" si="16"/>
        <v>0</v>
      </c>
    </row>
    <row r="120" spans="1:5" x14ac:dyDescent="0.2">
      <c r="A120">
        <f t="shared" si="15"/>
        <v>1500000000</v>
      </c>
      <c r="B120">
        <f t="shared" si="12"/>
        <v>0</v>
      </c>
      <c r="C120">
        <f t="shared" si="13"/>
        <v>0</v>
      </c>
      <c r="D120">
        <f t="shared" si="17"/>
        <v>0</v>
      </c>
      <c r="E120">
        <f t="shared" si="16"/>
        <v>0</v>
      </c>
    </row>
    <row r="121" spans="1:5" x14ac:dyDescent="0.2">
      <c r="A121">
        <f t="shared" si="15"/>
        <v>1800000000</v>
      </c>
      <c r="B121">
        <f t="shared" si="12"/>
        <v>0</v>
      </c>
      <c r="C121">
        <f t="shared" si="13"/>
        <v>0</v>
      </c>
      <c r="D121">
        <f t="shared" si="17"/>
        <v>0</v>
      </c>
      <c r="E121">
        <f t="shared" si="16"/>
        <v>0</v>
      </c>
    </row>
    <row r="122" spans="1:5" x14ac:dyDescent="0.2">
      <c r="A122">
        <f t="shared" si="15"/>
        <v>2200000000</v>
      </c>
      <c r="B122">
        <f t="shared" si="12"/>
        <v>0</v>
      </c>
      <c r="C122">
        <f t="shared" si="13"/>
        <v>0</v>
      </c>
      <c r="D122">
        <f t="shared" si="17"/>
        <v>0</v>
      </c>
      <c r="E122">
        <f t="shared" si="16"/>
        <v>0</v>
      </c>
    </row>
    <row r="123" spans="1:5" x14ac:dyDescent="0.2">
      <c r="A123">
        <f t="shared" si="15"/>
        <v>2700000000</v>
      </c>
      <c r="B123">
        <f t="shared" si="12"/>
        <v>0</v>
      </c>
      <c r="C123">
        <f t="shared" si="13"/>
        <v>0</v>
      </c>
      <c r="D123">
        <f t="shared" si="17"/>
        <v>0</v>
      </c>
      <c r="E123">
        <f t="shared" si="16"/>
        <v>0</v>
      </c>
    </row>
    <row r="124" spans="1:5" x14ac:dyDescent="0.2">
      <c r="A124">
        <f t="shared" si="15"/>
        <v>3300000000</v>
      </c>
      <c r="B124">
        <f t="shared" si="12"/>
        <v>0</v>
      </c>
      <c r="C124">
        <f t="shared" si="13"/>
        <v>0</v>
      </c>
      <c r="D124">
        <f t="shared" si="17"/>
        <v>0</v>
      </c>
      <c r="E124">
        <f t="shared" si="16"/>
        <v>0</v>
      </c>
    </row>
    <row r="125" spans="1:5" x14ac:dyDescent="0.2">
      <c r="A125">
        <f t="shared" si="15"/>
        <v>3900000000</v>
      </c>
      <c r="B125">
        <f t="shared" si="12"/>
        <v>0</v>
      </c>
      <c r="C125">
        <f t="shared" si="13"/>
        <v>0</v>
      </c>
      <c r="D125">
        <f t="shared" si="17"/>
        <v>0</v>
      </c>
      <c r="E125">
        <f t="shared" si="16"/>
        <v>0</v>
      </c>
    </row>
    <row r="126" spans="1:5" x14ac:dyDescent="0.2">
      <c r="A126">
        <f t="shared" si="15"/>
        <v>4700000000</v>
      </c>
      <c r="B126">
        <f t="shared" si="12"/>
        <v>0</v>
      </c>
      <c r="C126">
        <f t="shared" si="13"/>
        <v>0</v>
      </c>
      <c r="D126">
        <f t="shared" si="17"/>
        <v>0</v>
      </c>
      <c r="E126">
        <f t="shared" si="16"/>
        <v>0</v>
      </c>
    </row>
    <row r="127" spans="1:5" x14ac:dyDescent="0.2">
      <c r="A127">
        <f t="shared" si="15"/>
        <v>5600000000</v>
      </c>
      <c r="B127">
        <f t="shared" si="12"/>
        <v>0</v>
      </c>
      <c r="C127">
        <f t="shared" si="13"/>
        <v>0</v>
      </c>
      <c r="D127">
        <f t="shared" si="17"/>
        <v>0</v>
      </c>
      <c r="E127">
        <f t="shared" si="16"/>
        <v>0</v>
      </c>
    </row>
    <row r="128" spans="1:5" x14ac:dyDescent="0.2">
      <c r="A128">
        <f t="shared" si="15"/>
        <v>6800000000</v>
      </c>
      <c r="B128">
        <f t="shared" si="12"/>
        <v>0</v>
      </c>
      <c r="C128">
        <f t="shared" si="13"/>
        <v>0</v>
      </c>
      <c r="D128">
        <f t="shared" si="17"/>
        <v>0</v>
      </c>
      <c r="E128">
        <f t="shared" si="16"/>
        <v>0</v>
      </c>
    </row>
    <row r="129" spans="1:5" x14ac:dyDescent="0.2">
      <c r="A129">
        <f t="shared" si="15"/>
        <v>8200000000</v>
      </c>
      <c r="B129">
        <f t="shared" si="12"/>
        <v>0</v>
      </c>
      <c r="C129">
        <f t="shared" si="13"/>
        <v>0</v>
      </c>
      <c r="D129">
        <f t="shared" si="17"/>
        <v>0</v>
      </c>
      <c r="E129">
        <f t="shared" si="16"/>
        <v>0</v>
      </c>
    </row>
    <row r="130" spans="1:5" x14ac:dyDescent="0.2">
      <c r="A130">
        <f t="shared" si="15"/>
        <v>10000000000</v>
      </c>
      <c r="B130">
        <f t="shared" si="12"/>
        <v>0</v>
      </c>
      <c r="C130">
        <f t="shared" si="13"/>
        <v>0</v>
      </c>
      <c r="D130">
        <f t="shared" si="17"/>
        <v>0</v>
      </c>
      <c r="E130">
        <f t="shared" si="16"/>
        <v>0</v>
      </c>
    </row>
    <row r="131" spans="1:5" x14ac:dyDescent="0.2">
      <c r="A131">
        <f t="shared" si="15"/>
        <v>12000000000</v>
      </c>
      <c r="B131">
        <f t="shared" si="12"/>
        <v>0</v>
      </c>
      <c r="C131">
        <f t="shared" si="13"/>
        <v>0</v>
      </c>
      <c r="D131">
        <f t="shared" si="17"/>
        <v>0</v>
      </c>
      <c r="E131">
        <f t="shared" si="16"/>
        <v>0</v>
      </c>
    </row>
    <row r="132" spans="1:5" x14ac:dyDescent="0.2">
      <c r="A132">
        <f t="shared" si="15"/>
        <v>15000000000</v>
      </c>
      <c r="B132">
        <f t="shared" si="12"/>
        <v>0</v>
      </c>
      <c r="C132">
        <f t="shared" si="13"/>
        <v>0</v>
      </c>
      <c r="D132">
        <f t="shared" si="17"/>
        <v>0</v>
      </c>
      <c r="E132">
        <f t="shared" si="16"/>
        <v>0</v>
      </c>
    </row>
    <row r="133" spans="1:5" x14ac:dyDescent="0.2">
      <c r="A133">
        <f t="shared" si="15"/>
        <v>18000000000</v>
      </c>
      <c r="B133">
        <f t="shared" si="12"/>
        <v>0</v>
      </c>
      <c r="C133">
        <f t="shared" si="13"/>
        <v>0</v>
      </c>
      <c r="D133">
        <f t="shared" si="17"/>
        <v>0</v>
      </c>
      <c r="E133">
        <f t="shared" si="16"/>
        <v>0</v>
      </c>
    </row>
    <row r="134" spans="1:5" x14ac:dyDescent="0.2">
      <c r="A134">
        <f t="shared" si="15"/>
        <v>22000000000</v>
      </c>
      <c r="B134">
        <f t="shared" si="12"/>
        <v>0</v>
      </c>
      <c r="C134">
        <f t="shared" ref="C134:D159" si="18">IF(IF((C$3*10^12-$A135)*(C$3*10^12-$A134)*-1&lt;0,0,1)*IF(ABS(C$3*10^12-$A135)&gt;(C$3*10^12-$A134),$A134,$A135)=C135,0,IF((C$3*10^12-$A135)*(C$3*10^12-$A134)*-1&lt;0,0,1)*IF(ABS(C$3*10^12-$A135)&gt;(C$3*10^12-$A134),$A134,$A135))</f>
        <v>0</v>
      </c>
      <c r="D134">
        <f t="shared" si="17"/>
        <v>0</v>
      </c>
      <c r="E134">
        <f t="shared" ref="E134:E159" si="19">IF(IF((E$3*10^12-$A135)*(E$3*10^12-$A134)*-1&lt;0,0,1)*IF(ABS(E$3*10^12-$A135)&gt;(E$3*10^12-$A134),$A134,$A135)=E135,0,IF((E$3*10^12-$A135)*(E$3*10^12-$A134)*-1&lt;0,0,1)*IF(ABS(E$3*10^12-$A135)&gt;(E$3*10^12-$A134),$A134,$A135))</f>
        <v>0</v>
      </c>
    </row>
    <row r="135" spans="1:5" x14ac:dyDescent="0.2">
      <c r="A135">
        <f t="shared" si="15"/>
        <v>27000000000</v>
      </c>
      <c r="B135">
        <f t="shared" ref="B135:B159" si="20">IF(IF((B$3*10^12-$A136)*(B$3*10^12-$A135)*-1&lt;0,0,1)*IF(ABS(B$3*10^12-$A136)&gt;(B$3*10^12-$A135),$A135,$A136)=B136,0,IF((B$3*10^12-$A136)*(B$3*10^12-$A135)*-1&lt;0,0,1)*IF(ABS(B$3*10^12-$A136)&gt;(B$3*10^12-$A135),$A135,$A136))</f>
        <v>0</v>
      </c>
      <c r="C135">
        <f t="shared" si="18"/>
        <v>0</v>
      </c>
      <c r="D135">
        <f t="shared" si="18"/>
        <v>0</v>
      </c>
      <c r="E135">
        <f t="shared" si="19"/>
        <v>0</v>
      </c>
    </row>
    <row r="136" spans="1:5" x14ac:dyDescent="0.2">
      <c r="A136">
        <f t="shared" si="15"/>
        <v>33000000000</v>
      </c>
      <c r="B136">
        <f t="shared" si="20"/>
        <v>0</v>
      </c>
      <c r="C136">
        <f t="shared" si="18"/>
        <v>0</v>
      </c>
      <c r="D136">
        <f t="shared" si="18"/>
        <v>0</v>
      </c>
      <c r="E136">
        <f t="shared" si="19"/>
        <v>0</v>
      </c>
    </row>
    <row r="137" spans="1:5" x14ac:dyDescent="0.2">
      <c r="A137">
        <f t="shared" si="15"/>
        <v>39000000000</v>
      </c>
      <c r="B137">
        <f t="shared" si="20"/>
        <v>0</v>
      </c>
      <c r="C137">
        <f t="shared" si="18"/>
        <v>0</v>
      </c>
      <c r="D137">
        <f t="shared" si="18"/>
        <v>0</v>
      </c>
      <c r="E137">
        <f t="shared" si="19"/>
        <v>0</v>
      </c>
    </row>
    <row r="138" spans="1:5" x14ac:dyDescent="0.2">
      <c r="A138">
        <f t="shared" si="15"/>
        <v>47000000000</v>
      </c>
      <c r="B138">
        <f t="shared" si="20"/>
        <v>0</v>
      </c>
      <c r="C138">
        <f t="shared" si="18"/>
        <v>0</v>
      </c>
      <c r="D138">
        <f t="shared" si="18"/>
        <v>0</v>
      </c>
      <c r="E138">
        <f t="shared" si="19"/>
        <v>0</v>
      </c>
    </row>
    <row r="139" spans="1:5" x14ac:dyDescent="0.2">
      <c r="A139">
        <f t="shared" si="15"/>
        <v>56000000000</v>
      </c>
      <c r="B139">
        <f t="shared" si="20"/>
        <v>0</v>
      </c>
      <c r="C139">
        <f t="shared" si="18"/>
        <v>0</v>
      </c>
      <c r="D139">
        <f t="shared" si="18"/>
        <v>0</v>
      </c>
      <c r="E139">
        <f t="shared" si="19"/>
        <v>0</v>
      </c>
    </row>
    <row r="140" spans="1:5" x14ac:dyDescent="0.2">
      <c r="A140">
        <f t="shared" si="15"/>
        <v>68000000000</v>
      </c>
      <c r="B140">
        <f t="shared" si="20"/>
        <v>0</v>
      </c>
      <c r="C140">
        <f t="shared" si="18"/>
        <v>0</v>
      </c>
      <c r="D140">
        <f t="shared" si="18"/>
        <v>0</v>
      </c>
      <c r="E140">
        <f t="shared" si="19"/>
        <v>0</v>
      </c>
    </row>
    <row r="141" spans="1:5" x14ac:dyDescent="0.2">
      <c r="A141">
        <f t="shared" si="15"/>
        <v>82000000000</v>
      </c>
      <c r="B141">
        <f t="shared" si="20"/>
        <v>0</v>
      </c>
      <c r="C141">
        <f t="shared" si="18"/>
        <v>0</v>
      </c>
      <c r="D141">
        <f t="shared" si="18"/>
        <v>0</v>
      </c>
      <c r="E141">
        <f t="shared" si="19"/>
        <v>0</v>
      </c>
    </row>
    <row r="142" spans="1:5" x14ac:dyDescent="0.2">
      <c r="A142">
        <f t="shared" si="15"/>
        <v>100000000000</v>
      </c>
      <c r="B142">
        <f t="shared" si="20"/>
        <v>0</v>
      </c>
      <c r="C142">
        <f t="shared" si="18"/>
        <v>0</v>
      </c>
      <c r="D142">
        <f t="shared" si="18"/>
        <v>0</v>
      </c>
      <c r="E142">
        <f t="shared" si="19"/>
        <v>0</v>
      </c>
    </row>
    <row r="143" spans="1:5" x14ac:dyDescent="0.2">
      <c r="A143">
        <f t="shared" si="15"/>
        <v>120000000000</v>
      </c>
      <c r="B143">
        <f t="shared" si="20"/>
        <v>0</v>
      </c>
      <c r="C143">
        <f t="shared" si="18"/>
        <v>0</v>
      </c>
      <c r="D143">
        <f t="shared" si="18"/>
        <v>0</v>
      </c>
      <c r="E143">
        <f t="shared" si="19"/>
        <v>0</v>
      </c>
    </row>
    <row r="144" spans="1:5" x14ac:dyDescent="0.2">
      <c r="A144">
        <f t="shared" si="15"/>
        <v>150000000000</v>
      </c>
      <c r="B144">
        <f t="shared" si="20"/>
        <v>0</v>
      </c>
      <c r="C144">
        <f t="shared" si="18"/>
        <v>0</v>
      </c>
      <c r="D144">
        <f t="shared" si="18"/>
        <v>0</v>
      </c>
      <c r="E144">
        <f t="shared" si="19"/>
        <v>0</v>
      </c>
    </row>
    <row r="145" spans="1:5" x14ac:dyDescent="0.2">
      <c r="A145">
        <f t="shared" si="15"/>
        <v>180000000000</v>
      </c>
      <c r="B145">
        <f t="shared" si="20"/>
        <v>0</v>
      </c>
      <c r="C145">
        <f t="shared" si="18"/>
        <v>0</v>
      </c>
      <c r="D145">
        <f t="shared" si="18"/>
        <v>0</v>
      </c>
      <c r="E145">
        <f t="shared" si="19"/>
        <v>0</v>
      </c>
    </row>
    <row r="146" spans="1:5" x14ac:dyDescent="0.2">
      <c r="A146">
        <f t="shared" si="15"/>
        <v>220000000000</v>
      </c>
      <c r="B146">
        <f t="shared" si="20"/>
        <v>0</v>
      </c>
      <c r="C146">
        <f t="shared" si="18"/>
        <v>0</v>
      </c>
      <c r="D146">
        <f t="shared" si="18"/>
        <v>0</v>
      </c>
      <c r="E146">
        <f t="shared" si="19"/>
        <v>0</v>
      </c>
    </row>
    <row r="147" spans="1:5" x14ac:dyDescent="0.2">
      <c r="A147">
        <f t="shared" si="15"/>
        <v>270000000000</v>
      </c>
      <c r="B147">
        <f t="shared" si="20"/>
        <v>0</v>
      </c>
      <c r="C147">
        <f t="shared" si="18"/>
        <v>0</v>
      </c>
      <c r="D147">
        <f t="shared" si="18"/>
        <v>0</v>
      </c>
      <c r="E147">
        <f t="shared" si="19"/>
        <v>0</v>
      </c>
    </row>
    <row r="148" spans="1:5" x14ac:dyDescent="0.2">
      <c r="A148">
        <f t="shared" si="15"/>
        <v>330000000000</v>
      </c>
      <c r="B148">
        <f t="shared" si="20"/>
        <v>0</v>
      </c>
      <c r="C148">
        <f t="shared" si="18"/>
        <v>0</v>
      </c>
      <c r="D148">
        <f t="shared" si="18"/>
        <v>0</v>
      </c>
      <c r="E148">
        <f t="shared" si="19"/>
        <v>0</v>
      </c>
    </row>
    <row r="149" spans="1:5" x14ac:dyDescent="0.2">
      <c r="A149">
        <f t="shared" si="15"/>
        <v>390000000000</v>
      </c>
      <c r="B149">
        <f t="shared" si="20"/>
        <v>0</v>
      </c>
      <c r="C149">
        <f t="shared" si="18"/>
        <v>0</v>
      </c>
      <c r="D149">
        <f t="shared" si="18"/>
        <v>0</v>
      </c>
      <c r="E149">
        <f t="shared" si="19"/>
        <v>0</v>
      </c>
    </row>
    <row r="150" spans="1:5" x14ac:dyDescent="0.2">
      <c r="A150">
        <f t="shared" si="15"/>
        <v>470000000000</v>
      </c>
      <c r="B150">
        <f t="shared" si="20"/>
        <v>0</v>
      </c>
      <c r="C150">
        <f t="shared" si="18"/>
        <v>0</v>
      </c>
      <c r="D150">
        <f t="shared" si="18"/>
        <v>0</v>
      </c>
      <c r="E150">
        <f t="shared" si="19"/>
        <v>0</v>
      </c>
    </row>
    <row r="151" spans="1:5" x14ac:dyDescent="0.2">
      <c r="A151">
        <f t="shared" si="15"/>
        <v>560000000000</v>
      </c>
      <c r="B151">
        <f t="shared" si="20"/>
        <v>0</v>
      </c>
      <c r="C151">
        <f t="shared" si="18"/>
        <v>0</v>
      </c>
      <c r="D151">
        <f t="shared" si="18"/>
        <v>0</v>
      </c>
      <c r="E151">
        <f t="shared" si="19"/>
        <v>0</v>
      </c>
    </row>
    <row r="152" spans="1:5" x14ac:dyDescent="0.2">
      <c r="A152">
        <f t="shared" si="15"/>
        <v>680000000000</v>
      </c>
      <c r="B152">
        <f t="shared" si="20"/>
        <v>0</v>
      </c>
      <c r="C152">
        <f t="shared" si="18"/>
        <v>0</v>
      </c>
      <c r="D152">
        <f t="shared" si="18"/>
        <v>0</v>
      </c>
      <c r="E152">
        <f t="shared" si="19"/>
        <v>0</v>
      </c>
    </row>
    <row r="153" spans="1:5" x14ac:dyDescent="0.2">
      <c r="A153">
        <f t="shared" si="15"/>
        <v>820000000000</v>
      </c>
      <c r="B153">
        <f t="shared" si="20"/>
        <v>0</v>
      </c>
      <c r="C153">
        <f t="shared" si="18"/>
        <v>0</v>
      </c>
      <c r="D153">
        <f t="shared" si="18"/>
        <v>0</v>
      </c>
      <c r="E153">
        <f t="shared" si="19"/>
        <v>0</v>
      </c>
    </row>
    <row r="154" spans="1:5" x14ac:dyDescent="0.2">
      <c r="A154">
        <f t="shared" si="15"/>
        <v>1000000000000</v>
      </c>
      <c r="B154">
        <f t="shared" si="20"/>
        <v>0</v>
      </c>
      <c r="C154">
        <f t="shared" si="18"/>
        <v>0</v>
      </c>
      <c r="D154">
        <f t="shared" si="18"/>
        <v>0</v>
      </c>
      <c r="E154">
        <f t="shared" si="19"/>
        <v>0</v>
      </c>
    </row>
    <row r="155" spans="1:5" x14ac:dyDescent="0.2">
      <c r="A155">
        <f t="shared" si="15"/>
        <v>1200000000000</v>
      </c>
      <c r="B155">
        <f t="shared" si="20"/>
        <v>0</v>
      </c>
      <c r="C155">
        <f t="shared" si="18"/>
        <v>0</v>
      </c>
      <c r="D155">
        <f t="shared" si="18"/>
        <v>0</v>
      </c>
      <c r="E155">
        <f t="shared" si="19"/>
        <v>0</v>
      </c>
    </row>
    <row r="156" spans="1:5" x14ac:dyDescent="0.2">
      <c r="A156">
        <f t="shared" si="15"/>
        <v>1500000000000</v>
      </c>
      <c r="B156">
        <f t="shared" si="20"/>
        <v>0</v>
      </c>
      <c r="C156">
        <f t="shared" si="18"/>
        <v>0</v>
      </c>
      <c r="D156">
        <f t="shared" si="18"/>
        <v>0</v>
      </c>
      <c r="E156">
        <f t="shared" si="19"/>
        <v>0</v>
      </c>
    </row>
    <row r="157" spans="1:5" x14ac:dyDescent="0.2">
      <c r="A157">
        <f t="shared" si="15"/>
        <v>1800000000000</v>
      </c>
      <c r="B157">
        <f t="shared" si="20"/>
        <v>0</v>
      </c>
      <c r="C157">
        <f t="shared" si="18"/>
        <v>0</v>
      </c>
      <c r="D157">
        <f t="shared" si="18"/>
        <v>0</v>
      </c>
      <c r="E157">
        <f t="shared" si="19"/>
        <v>0</v>
      </c>
    </row>
    <row r="158" spans="1:5" x14ac:dyDescent="0.2">
      <c r="A158">
        <f t="shared" si="15"/>
        <v>2200000000000</v>
      </c>
      <c r="B158">
        <f t="shared" si="20"/>
        <v>0</v>
      </c>
      <c r="C158">
        <f t="shared" si="18"/>
        <v>0</v>
      </c>
      <c r="D158">
        <f t="shared" si="18"/>
        <v>0</v>
      </c>
      <c r="E158">
        <f t="shared" si="19"/>
        <v>0</v>
      </c>
    </row>
    <row r="159" spans="1:5" x14ac:dyDescent="0.2">
      <c r="A159" s="16">
        <f t="shared" si="15"/>
        <v>2700000000000</v>
      </c>
      <c r="B159">
        <f t="shared" si="20"/>
        <v>2700000000000</v>
      </c>
      <c r="C159">
        <f t="shared" si="18"/>
        <v>0</v>
      </c>
      <c r="D159">
        <f t="shared" si="18"/>
        <v>0</v>
      </c>
      <c r="E159">
        <f t="shared" si="19"/>
        <v>2700000000000</v>
      </c>
    </row>
  </sheetData>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Q55"/>
  <sheetViews>
    <sheetView zoomScaleNormal="100" workbookViewId="0">
      <selection activeCell="J22" sqref="J22"/>
    </sheetView>
  </sheetViews>
  <sheetFormatPr defaultRowHeight="12.75" x14ac:dyDescent="0.2"/>
  <cols>
    <col min="1" max="1" width="9.5703125" style="116" customWidth="1"/>
    <col min="2" max="2" width="11.42578125" style="116" customWidth="1"/>
    <col min="3" max="3" width="13.42578125" style="116" customWidth="1"/>
    <col min="4" max="4" width="20.140625" style="116" customWidth="1"/>
    <col min="5" max="5" width="17.28515625" style="116" customWidth="1"/>
    <col min="6" max="6" width="13.5703125" style="116" customWidth="1"/>
    <col min="7" max="7" width="16.140625" style="116" customWidth="1"/>
    <col min="8" max="8" width="18.140625" style="116" customWidth="1"/>
    <col min="9" max="9" width="10.85546875" style="116" customWidth="1"/>
    <col min="10" max="10" width="15.85546875" style="116" customWidth="1"/>
    <col min="11" max="11" width="11.85546875" style="474" customWidth="1"/>
    <col min="12" max="12" width="7.85546875" style="473" customWidth="1"/>
    <col min="13" max="13" width="11.7109375" style="116" customWidth="1"/>
    <col min="14" max="254" width="9.140625" style="116"/>
    <col min="255" max="255" width="8.7109375" style="116" bestFit="1" customWidth="1"/>
    <col min="256" max="256" width="13.28515625" style="116" customWidth="1"/>
    <col min="257" max="257" width="16.140625" style="116" bestFit="1" customWidth="1"/>
    <col min="258" max="258" width="23.5703125" style="116" customWidth="1"/>
    <col min="259" max="259" width="17.28515625" style="116" customWidth="1"/>
    <col min="260" max="260" width="20.5703125" style="116" bestFit="1" customWidth="1"/>
    <col min="261" max="261" width="17.140625" style="116" customWidth="1"/>
    <col min="262" max="262" width="21.85546875" style="116" bestFit="1" customWidth="1"/>
    <col min="263" max="263" width="17.140625" style="116" bestFit="1" customWidth="1"/>
    <col min="264" max="264" width="18.140625" style="116" bestFit="1" customWidth="1"/>
    <col min="265" max="265" width="26.42578125" style="116" customWidth="1"/>
    <col min="266" max="510" width="9.140625" style="116"/>
    <col min="511" max="511" width="8.7109375" style="116" bestFit="1" customWidth="1"/>
    <col min="512" max="512" width="13.28515625" style="116" customWidth="1"/>
    <col min="513" max="513" width="16.140625" style="116" bestFit="1" customWidth="1"/>
    <col min="514" max="514" width="23.5703125" style="116" customWidth="1"/>
    <col min="515" max="515" width="17.28515625" style="116" customWidth="1"/>
    <col min="516" max="516" width="20.5703125" style="116" bestFit="1" customWidth="1"/>
    <col min="517" max="517" width="17.140625" style="116" customWidth="1"/>
    <col min="518" max="518" width="21.85546875" style="116" bestFit="1" customWidth="1"/>
    <col min="519" max="519" width="17.140625" style="116" bestFit="1" customWidth="1"/>
    <col min="520" max="520" width="18.140625" style="116" bestFit="1" customWidth="1"/>
    <col min="521" max="521" width="26.42578125" style="116" customWidth="1"/>
    <col min="522" max="766" width="9.140625" style="116"/>
    <col min="767" max="767" width="8.7109375" style="116" bestFit="1" customWidth="1"/>
    <col min="768" max="768" width="13.28515625" style="116" customWidth="1"/>
    <col min="769" max="769" width="16.140625" style="116" bestFit="1" customWidth="1"/>
    <col min="770" max="770" width="23.5703125" style="116" customWidth="1"/>
    <col min="771" max="771" width="17.28515625" style="116" customWidth="1"/>
    <col min="772" max="772" width="20.5703125" style="116" bestFit="1" customWidth="1"/>
    <col min="773" max="773" width="17.140625" style="116" customWidth="1"/>
    <col min="774" max="774" width="21.85546875" style="116" bestFit="1" customWidth="1"/>
    <col min="775" max="775" width="17.140625" style="116" bestFit="1" customWidth="1"/>
    <col min="776" max="776" width="18.140625" style="116" bestFit="1" customWidth="1"/>
    <col min="777" max="777" width="26.42578125" style="116" customWidth="1"/>
    <col min="778" max="1022" width="9.140625" style="116"/>
    <col min="1023" max="1023" width="8.7109375" style="116" bestFit="1" customWidth="1"/>
    <col min="1024" max="1024" width="13.28515625" style="116" customWidth="1"/>
    <col min="1025" max="1025" width="16.140625" style="116" bestFit="1" customWidth="1"/>
    <col min="1026" max="1026" width="23.5703125" style="116" customWidth="1"/>
    <col min="1027" max="1027" width="17.28515625" style="116" customWidth="1"/>
    <col min="1028" max="1028" width="20.5703125" style="116" bestFit="1" customWidth="1"/>
    <col min="1029" max="1029" width="17.140625" style="116" customWidth="1"/>
    <col min="1030" max="1030" width="21.85546875" style="116" bestFit="1" customWidth="1"/>
    <col min="1031" max="1031" width="17.140625" style="116" bestFit="1" customWidth="1"/>
    <col min="1032" max="1032" width="18.140625" style="116" bestFit="1" customWidth="1"/>
    <col min="1033" max="1033" width="26.42578125" style="116" customWidth="1"/>
    <col min="1034" max="1278" width="9.140625" style="116"/>
    <col min="1279" max="1279" width="8.7109375" style="116" bestFit="1" customWidth="1"/>
    <col min="1280" max="1280" width="13.28515625" style="116" customWidth="1"/>
    <col min="1281" max="1281" width="16.140625" style="116" bestFit="1" customWidth="1"/>
    <col min="1282" max="1282" width="23.5703125" style="116" customWidth="1"/>
    <col min="1283" max="1283" width="17.28515625" style="116" customWidth="1"/>
    <col min="1284" max="1284" width="20.5703125" style="116" bestFit="1" customWidth="1"/>
    <col min="1285" max="1285" width="17.140625" style="116" customWidth="1"/>
    <col min="1286" max="1286" width="21.85546875" style="116" bestFit="1" customWidth="1"/>
    <col min="1287" max="1287" width="17.140625" style="116" bestFit="1" customWidth="1"/>
    <col min="1288" max="1288" width="18.140625" style="116" bestFit="1" customWidth="1"/>
    <col min="1289" max="1289" width="26.42578125" style="116" customWidth="1"/>
    <col min="1290" max="1534" width="9.140625" style="116"/>
    <col min="1535" max="1535" width="8.7109375" style="116" bestFit="1" customWidth="1"/>
    <col min="1536" max="1536" width="13.28515625" style="116" customWidth="1"/>
    <col min="1537" max="1537" width="16.140625" style="116" bestFit="1" customWidth="1"/>
    <col min="1538" max="1538" width="23.5703125" style="116" customWidth="1"/>
    <col min="1539" max="1539" width="17.28515625" style="116" customWidth="1"/>
    <col min="1540" max="1540" width="20.5703125" style="116" bestFit="1" customWidth="1"/>
    <col min="1541" max="1541" width="17.140625" style="116" customWidth="1"/>
    <col min="1542" max="1542" width="21.85546875" style="116" bestFit="1" customWidth="1"/>
    <col min="1543" max="1543" width="17.140625" style="116" bestFit="1" customWidth="1"/>
    <col min="1544" max="1544" width="18.140625" style="116" bestFit="1" customWidth="1"/>
    <col min="1545" max="1545" width="26.42578125" style="116" customWidth="1"/>
    <col min="1546" max="1790" width="9.140625" style="116"/>
    <col min="1791" max="1791" width="8.7109375" style="116" bestFit="1" customWidth="1"/>
    <col min="1792" max="1792" width="13.28515625" style="116" customWidth="1"/>
    <col min="1793" max="1793" width="16.140625" style="116" bestFit="1" customWidth="1"/>
    <col min="1794" max="1794" width="23.5703125" style="116" customWidth="1"/>
    <col min="1795" max="1795" width="17.28515625" style="116" customWidth="1"/>
    <col min="1796" max="1796" width="20.5703125" style="116" bestFit="1" customWidth="1"/>
    <col min="1797" max="1797" width="17.140625" style="116" customWidth="1"/>
    <col min="1798" max="1798" width="21.85546875" style="116" bestFit="1" customWidth="1"/>
    <col min="1799" max="1799" width="17.140625" style="116" bestFit="1" customWidth="1"/>
    <col min="1800" max="1800" width="18.140625" style="116" bestFit="1" customWidth="1"/>
    <col min="1801" max="1801" width="26.42578125" style="116" customWidth="1"/>
    <col min="1802" max="2046" width="9.140625" style="116"/>
    <col min="2047" max="2047" width="8.7109375" style="116" bestFit="1" customWidth="1"/>
    <col min="2048" max="2048" width="13.28515625" style="116" customWidth="1"/>
    <col min="2049" max="2049" width="16.140625" style="116" bestFit="1" customWidth="1"/>
    <col min="2050" max="2050" width="23.5703125" style="116" customWidth="1"/>
    <col min="2051" max="2051" width="17.28515625" style="116" customWidth="1"/>
    <col min="2052" max="2052" width="20.5703125" style="116" bestFit="1" customWidth="1"/>
    <col min="2053" max="2053" width="17.140625" style="116" customWidth="1"/>
    <col min="2054" max="2054" width="21.85546875" style="116" bestFit="1" customWidth="1"/>
    <col min="2055" max="2055" width="17.140625" style="116" bestFit="1" customWidth="1"/>
    <col min="2056" max="2056" width="18.140625" style="116" bestFit="1" customWidth="1"/>
    <col min="2057" max="2057" width="26.42578125" style="116" customWidth="1"/>
    <col min="2058" max="2302" width="9.140625" style="116"/>
    <col min="2303" max="2303" width="8.7109375" style="116" bestFit="1" customWidth="1"/>
    <col min="2304" max="2304" width="13.28515625" style="116" customWidth="1"/>
    <col min="2305" max="2305" width="16.140625" style="116" bestFit="1" customWidth="1"/>
    <col min="2306" max="2306" width="23.5703125" style="116" customWidth="1"/>
    <col min="2307" max="2307" width="17.28515625" style="116" customWidth="1"/>
    <col min="2308" max="2308" width="20.5703125" style="116" bestFit="1" customWidth="1"/>
    <col min="2309" max="2309" width="17.140625" style="116" customWidth="1"/>
    <col min="2310" max="2310" width="21.85546875" style="116" bestFit="1" customWidth="1"/>
    <col min="2311" max="2311" width="17.140625" style="116" bestFit="1" customWidth="1"/>
    <col min="2312" max="2312" width="18.140625" style="116" bestFit="1" customWidth="1"/>
    <col min="2313" max="2313" width="26.42578125" style="116" customWidth="1"/>
    <col min="2314" max="2558" width="9.140625" style="116"/>
    <col min="2559" max="2559" width="8.7109375" style="116" bestFit="1" customWidth="1"/>
    <col min="2560" max="2560" width="13.28515625" style="116" customWidth="1"/>
    <col min="2561" max="2561" width="16.140625" style="116" bestFit="1" customWidth="1"/>
    <col min="2562" max="2562" width="23.5703125" style="116" customWidth="1"/>
    <col min="2563" max="2563" width="17.28515625" style="116" customWidth="1"/>
    <col min="2564" max="2564" width="20.5703125" style="116" bestFit="1" customWidth="1"/>
    <col min="2565" max="2565" width="17.140625" style="116" customWidth="1"/>
    <col min="2566" max="2566" width="21.85546875" style="116" bestFit="1" customWidth="1"/>
    <col min="2567" max="2567" width="17.140625" style="116" bestFit="1" customWidth="1"/>
    <col min="2568" max="2568" width="18.140625" style="116" bestFit="1" customWidth="1"/>
    <col min="2569" max="2569" width="26.42578125" style="116" customWidth="1"/>
    <col min="2570" max="2814" width="9.140625" style="116"/>
    <col min="2815" max="2815" width="8.7109375" style="116" bestFit="1" customWidth="1"/>
    <col min="2816" max="2816" width="13.28515625" style="116" customWidth="1"/>
    <col min="2817" max="2817" width="16.140625" style="116" bestFit="1" customWidth="1"/>
    <col min="2818" max="2818" width="23.5703125" style="116" customWidth="1"/>
    <col min="2819" max="2819" width="17.28515625" style="116" customWidth="1"/>
    <col min="2820" max="2820" width="20.5703125" style="116" bestFit="1" customWidth="1"/>
    <col min="2821" max="2821" width="17.140625" style="116" customWidth="1"/>
    <col min="2822" max="2822" width="21.85546875" style="116" bestFit="1" customWidth="1"/>
    <col min="2823" max="2823" width="17.140625" style="116" bestFit="1" customWidth="1"/>
    <col min="2824" max="2824" width="18.140625" style="116" bestFit="1" customWidth="1"/>
    <col min="2825" max="2825" width="26.42578125" style="116" customWidth="1"/>
    <col min="2826" max="3070" width="9.140625" style="116"/>
    <col min="3071" max="3071" width="8.7109375" style="116" bestFit="1" customWidth="1"/>
    <col min="3072" max="3072" width="13.28515625" style="116" customWidth="1"/>
    <col min="3073" max="3073" width="16.140625" style="116" bestFit="1" customWidth="1"/>
    <col min="3074" max="3074" width="23.5703125" style="116" customWidth="1"/>
    <col min="3075" max="3075" width="17.28515625" style="116" customWidth="1"/>
    <col min="3076" max="3076" width="20.5703125" style="116" bestFit="1" customWidth="1"/>
    <col min="3077" max="3077" width="17.140625" style="116" customWidth="1"/>
    <col min="3078" max="3078" width="21.85546875" style="116" bestFit="1" customWidth="1"/>
    <col min="3079" max="3079" width="17.140625" style="116" bestFit="1" customWidth="1"/>
    <col min="3080" max="3080" width="18.140625" style="116" bestFit="1" customWidth="1"/>
    <col min="3081" max="3081" width="26.42578125" style="116" customWidth="1"/>
    <col min="3082" max="3326" width="9.140625" style="116"/>
    <col min="3327" max="3327" width="8.7109375" style="116" bestFit="1" customWidth="1"/>
    <col min="3328" max="3328" width="13.28515625" style="116" customWidth="1"/>
    <col min="3329" max="3329" width="16.140625" style="116" bestFit="1" customWidth="1"/>
    <col min="3330" max="3330" width="23.5703125" style="116" customWidth="1"/>
    <col min="3331" max="3331" width="17.28515625" style="116" customWidth="1"/>
    <col min="3332" max="3332" width="20.5703125" style="116" bestFit="1" customWidth="1"/>
    <col min="3333" max="3333" width="17.140625" style="116" customWidth="1"/>
    <col min="3334" max="3334" width="21.85546875" style="116" bestFit="1" customWidth="1"/>
    <col min="3335" max="3335" width="17.140625" style="116" bestFit="1" customWidth="1"/>
    <col min="3336" max="3336" width="18.140625" style="116" bestFit="1" customWidth="1"/>
    <col min="3337" max="3337" width="26.42578125" style="116" customWidth="1"/>
    <col min="3338" max="3582" width="9.140625" style="116"/>
    <col min="3583" max="3583" width="8.7109375" style="116" bestFit="1" customWidth="1"/>
    <col min="3584" max="3584" width="13.28515625" style="116" customWidth="1"/>
    <col min="3585" max="3585" width="16.140625" style="116" bestFit="1" customWidth="1"/>
    <col min="3586" max="3586" width="23.5703125" style="116" customWidth="1"/>
    <col min="3587" max="3587" width="17.28515625" style="116" customWidth="1"/>
    <col min="3588" max="3588" width="20.5703125" style="116" bestFit="1" customWidth="1"/>
    <col min="3589" max="3589" width="17.140625" style="116" customWidth="1"/>
    <col min="3590" max="3590" width="21.85546875" style="116" bestFit="1" customWidth="1"/>
    <col min="3591" max="3591" width="17.140625" style="116" bestFit="1" customWidth="1"/>
    <col min="3592" max="3592" width="18.140625" style="116" bestFit="1" customWidth="1"/>
    <col min="3593" max="3593" width="26.42578125" style="116" customWidth="1"/>
    <col min="3594" max="3838" width="9.140625" style="116"/>
    <col min="3839" max="3839" width="8.7109375" style="116" bestFit="1" customWidth="1"/>
    <col min="3840" max="3840" width="13.28515625" style="116" customWidth="1"/>
    <col min="3841" max="3841" width="16.140625" style="116" bestFit="1" customWidth="1"/>
    <col min="3842" max="3842" width="23.5703125" style="116" customWidth="1"/>
    <col min="3843" max="3843" width="17.28515625" style="116" customWidth="1"/>
    <col min="3844" max="3844" width="20.5703125" style="116" bestFit="1" customWidth="1"/>
    <col min="3845" max="3845" width="17.140625" style="116" customWidth="1"/>
    <col min="3846" max="3846" width="21.85546875" style="116" bestFit="1" customWidth="1"/>
    <col min="3847" max="3847" width="17.140625" style="116" bestFit="1" customWidth="1"/>
    <col min="3848" max="3848" width="18.140625" style="116" bestFit="1" customWidth="1"/>
    <col min="3849" max="3849" width="26.42578125" style="116" customWidth="1"/>
    <col min="3850" max="4094" width="9.140625" style="116"/>
    <col min="4095" max="4095" width="8.7109375" style="116" bestFit="1" customWidth="1"/>
    <col min="4096" max="4096" width="13.28515625" style="116" customWidth="1"/>
    <col min="4097" max="4097" width="16.140625" style="116" bestFit="1" customWidth="1"/>
    <col min="4098" max="4098" width="23.5703125" style="116" customWidth="1"/>
    <col min="4099" max="4099" width="17.28515625" style="116" customWidth="1"/>
    <col min="4100" max="4100" width="20.5703125" style="116" bestFit="1" customWidth="1"/>
    <col min="4101" max="4101" width="17.140625" style="116" customWidth="1"/>
    <col min="4102" max="4102" width="21.85546875" style="116" bestFit="1" customWidth="1"/>
    <col min="4103" max="4103" width="17.140625" style="116" bestFit="1" customWidth="1"/>
    <col min="4104" max="4104" width="18.140625" style="116" bestFit="1" customWidth="1"/>
    <col min="4105" max="4105" width="26.42578125" style="116" customWidth="1"/>
    <col min="4106" max="4350" width="9.140625" style="116"/>
    <col min="4351" max="4351" width="8.7109375" style="116" bestFit="1" customWidth="1"/>
    <col min="4352" max="4352" width="13.28515625" style="116" customWidth="1"/>
    <col min="4353" max="4353" width="16.140625" style="116" bestFit="1" customWidth="1"/>
    <col min="4354" max="4354" width="23.5703125" style="116" customWidth="1"/>
    <col min="4355" max="4355" width="17.28515625" style="116" customWidth="1"/>
    <col min="4356" max="4356" width="20.5703125" style="116" bestFit="1" customWidth="1"/>
    <col min="4357" max="4357" width="17.140625" style="116" customWidth="1"/>
    <col min="4358" max="4358" width="21.85546875" style="116" bestFit="1" customWidth="1"/>
    <col min="4359" max="4359" width="17.140625" style="116" bestFit="1" customWidth="1"/>
    <col min="4360" max="4360" width="18.140625" style="116" bestFit="1" customWidth="1"/>
    <col min="4361" max="4361" width="26.42578125" style="116" customWidth="1"/>
    <col min="4362" max="4606" width="9.140625" style="116"/>
    <col min="4607" max="4607" width="8.7109375" style="116" bestFit="1" customWidth="1"/>
    <col min="4608" max="4608" width="13.28515625" style="116" customWidth="1"/>
    <col min="4609" max="4609" width="16.140625" style="116" bestFit="1" customWidth="1"/>
    <col min="4610" max="4610" width="23.5703125" style="116" customWidth="1"/>
    <col min="4611" max="4611" width="17.28515625" style="116" customWidth="1"/>
    <col min="4612" max="4612" width="20.5703125" style="116" bestFit="1" customWidth="1"/>
    <col min="4613" max="4613" width="17.140625" style="116" customWidth="1"/>
    <col min="4614" max="4614" width="21.85546875" style="116" bestFit="1" customWidth="1"/>
    <col min="4615" max="4615" width="17.140625" style="116" bestFit="1" customWidth="1"/>
    <col min="4616" max="4616" width="18.140625" style="116" bestFit="1" customWidth="1"/>
    <col min="4617" max="4617" width="26.42578125" style="116" customWidth="1"/>
    <col min="4618" max="4862" width="9.140625" style="116"/>
    <col min="4863" max="4863" width="8.7109375" style="116" bestFit="1" customWidth="1"/>
    <col min="4864" max="4864" width="13.28515625" style="116" customWidth="1"/>
    <col min="4865" max="4865" width="16.140625" style="116" bestFit="1" customWidth="1"/>
    <col min="4866" max="4866" width="23.5703125" style="116" customWidth="1"/>
    <col min="4867" max="4867" width="17.28515625" style="116" customWidth="1"/>
    <col min="4868" max="4868" width="20.5703125" style="116" bestFit="1" customWidth="1"/>
    <col min="4869" max="4869" width="17.140625" style="116" customWidth="1"/>
    <col min="4870" max="4870" width="21.85546875" style="116" bestFit="1" customWidth="1"/>
    <col min="4871" max="4871" width="17.140625" style="116" bestFit="1" customWidth="1"/>
    <col min="4872" max="4872" width="18.140625" style="116" bestFit="1" customWidth="1"/>
    <col min="4873" max="4873" width="26.42578125" style="116" customWidth="1"/>
    <col min="4874" max="5118" width="9.140625" style="116"/>
    <col min="5119" max="5119" width="8.7109375" style="116" bestFit="1" customWidth="1"/>
    <col min="5120" max="5120" width="13.28515625" style="116" customWidth="1"/>
    <col min="5121" max="5121" width="16.140625" style="116" bestFit="1" customWidth="1"/>
    <col min="5122" max="5122" width="23.5703125" style="116" customWidth="1"/>
    <col min="5123" max="5123" width="17.28515625" style="116" customWidth="1"/>
    <col min="5124" max="5124" width="20.5703125" style="116" bestFit="1" customWidth="1"/>
    <col min="5125" max="5125" width="17.140625" style="116" customWidth="1"/>
    <col min="5126" max="5126" width="21.85546875" style="116" bestFit="1" customWidth="1"/>
    <col min="5127" max="5127" width="17.140625" style="116" bestFit="1" customWidth="1"/>
    <col min="5128" max="5128" width="18.140625" style="116" bestFit="1" customWidth="1"/>
    <col min="5129" max="5129" width="26.42578125" style="116" customWidth="1"/>
    <col min="5130" max="5374" width="9.140625" style="116"/>
    <col min="5375" max="5375" width="8.7109375" style="116" bestFit="1" customWidth="1"/>
    <col min="5376" max="5376" width="13.28515625" style="116" customWidth="1"/>
    <col min="5377" max="5377" width="16.140625" style="116" bestFit="1" customWidth="1"/>
    <col min="5378" max="5378" width="23.5703125" style="116" customWidth="1"/>
    <col min="5379" max="5379" width="17.28515625" style="116" customWidth="1"/>
    <col min="5380" max="5380" width="20.5703125" style="116" bestFit="1" customWidth="1"/>
    <col min="5381" max="5381" width="17.140625" style="116" customWidth="1"/>
    <col min="5382" max="5382" width="21.85546875" style="116" bestFit="1" customWidth="1"/>
    <col min="5383" max="5383" width="17.140625" style="116" bestFit="1" customWidth="1"/>
    <col min="5384" max="5384" width="18.140625" style="116" bestFit="1" customWidth="1"/>
    <col min="5385" max="5385" width="26.42578125" style="116" customWidth="1"/>
    <col min="5386" max="5630" width="9.140625" style="116"/>
    <col min="5631" max="5631" width="8.7109375" style="116" bestFit="1" customWidth="1"/>
    <col min="5632" max="5632" width="13.28515625" style="116" customWidth="1"/>
    <col min="5633" max="5633" width="16.140625" style="116" bestFit="1" customWidth="1"/>
    <col min="5634" max="5634" width="23.5703125" style="116" customWidth="1"/>
    <col min="5635" max="5635" width="17.28515625" style="116" customWidth="1"/>
    <col min="5636" max="5636" width="20.5703125" style="116" bestFit="1" customWidth="1"/>
    <col min="5637" max="5637" width="17.140625" style="116" customWidth="1"/>
    <col min="5638" max="5638" width="21.85546875" style="116" bestFit="1" customWidth="1"/>
    <col min="5639" max="5639" width="17.140625" style="116" bestFit="1" customWidth="1"/>
    <col min="5640" max="5640" width="18.140625" style="116" bestFit="1" customWidth="1"/>
    <col min="5641" max="5641" width="26.42578125" style="116" customWidth="1"/>
    <col min="5642" max="5886" width="9.140625" style="116"/>
    <col min="5887" max="5887" width="8.7109375" style="116" bestFit="1" customWidth="1"/>
    <col min="5888" max="5888" width="13.28515625" style="116" customWidth="1"/>
    <col min="5889" max="5889" width="16.140625" style="116" bestFit="1" customWidth="1"/>
    <col min="5890" max="5890" width="23.5703125" style="116" customWidth="1"/>
    <col min="5891" max="5891" width="17.28515625" style="116" customWidth="1"/>
    <col min="5892" max="5892" width="20.5703125" style="116" bestFit="1" customWidth="1"/>
    <col min="5893" max="5893" width="17.140625" style="116" customWidth="1"/>
    <col min="5894" max="5894" width="21.85546875" style="116" bestFit="1" customWidth="1"/>
    <col min="5895" max="5895" width="17.140625" style="116" bestFit="1" customWidth="1"/>
    <col min="5896" max="5896" width="18.140625" style="116" bestFit="1" customWidth="1"/>
    <col min="5897" max="5897" width="26.42578125" style="116" customWidth="1"/>
    <col min="5898" max="6142" width="9.140625" style="116"/>
    <col min="6143" max="6143" width="8.7109375" style="116" bestFit="1" customWidth="1"/>
    <col min="6144" max="6144" width="13.28515625" style="116" customWidth="1"/>
    <col min="6145" max="6145" width="16.140625" style="116" bestFit="1" customWidth="1"/>
    <col min="6146" max="6146" width="23.5703125" style="116" customWidth="1"/>
    <col min="6147" max="6147" width="17.28515625" style="116" customWidth="1"/>
    <col min="6148" max="6148" width="20.5703125" style="116" bestFit="1" customWidth="1"/>
    <col min="6149" max="6149" width="17.140625" style="116" customWidth="1"/>
    <col min="6150" max="6150" width="21.85546875" style="116" bestFit="1" customWidth="1"/>
    <col min="6151" max="6151" width="17.140625" style="116" bestFit="1" customWidth="1"/>
    <col min="6152" max="6152" width="18.140625" style="116" bestFit="1" customWidth="1"/>
    <col min="6153" max="6153" width="26.42578125" style="116" customWidth="1"/>
    <col min="6154" max="6398" width="9.140625" style="116"/>
    <col min="6399" max="6399" width="8.7109375" style="116" bestFit="1" customWidth="1"/>
    <col min="6400" max="6400" width="13.28515625" style="116" customWidth="1"/>
    <col min="6401" max="6401" width="16.140625" style="116" bestFit="1" customWidth="1"/>
    <col min="6402" max="6402" width="23.5703125" style="116" customWidth="1"/>
    <col min="6403" max="6403" width="17.28515625" style="116" customWidth="1"/>
    <col min="6404" max="6404" width="20.5703125" style="116" bestFit="1" customWidth="1"/>
    <col min="6405" max="6405" width="17.140625" style="116" customWidth="1"/>
    <col min="6406" max="6406" width="21.85546875" style="116" bestFit="1" customWidth="1"/>
    <col min="6407" max="6407" width="17.140625" style="116" bestFit="1" customWidth="1"/>
    <col min="6408" max="6408" width="18.140625" style="116" bestFit="1" customWidth="1"/>
    <col min="6409" max="6409" width="26.42578125" style="116" customWidth="1"/>
    <col min="6410" max="6654" width="9.140625" style="116"/>
    <col min="6655" max="6655" width="8.7109375" style="116" bestFit="1" customWidth="1"/>
    <col min="6656" max="6656" width="13.28515625" style="116" customWidth="1"/>
    <col min="6657" max="6657" width="16.140625" style="116" bestFit="1" customWidth="1"/>
    <col min="6658" max="6658" width="23.5703125" style="116" customWidth="1"/>
    <col min="6659" max="6659" width="17.28515625" style="116" customWidth="1"/>
    <col min="6660" max="6660" width="20.5703125" style="116" bestFit="1" customWidth="1"/>
    <col min="6661" max="6661" width="17.140625" style="116" customWidth="1"/>
    <col min="6662" max="6662" width="21.85546875" style="116" bestFit="1" customWidth="1"/>
    <col min="6663" max="6663" width="17.140625" style="116" bestFit="1" customWidth="1"/>
    <col min="6664" max="6664" width="18.140625" style="116" bestFit="1" customWidth="1"/>
    <col min="6665" max="6665" width="26.42578125" style="116" customWidth="1"/>
    <col min="6666" max="6910" width="9.140625" style="116"/>
    <col min="6911" max="6911" width="8.7109375" style="116" bestFit="1" customWidth="1"/>
    <col min="6912" max="6912" width="13.28515625" style="116" customWidth="1"/>
    <col min="6913" max="6913" width="16.140625" style="116" bestFit="1" customWidth="1"/>
    <col min="6914" max="6914" width="23.5703125" style="116" customWidth="1"/>
    <col min="6915" max="6915" width="17.28515625" style="116" customWidth="1"/>
    <col min="6916" max="6916" width="20.5703125" style="116" bestFit="1" customWidth="1"/>
    <col min="6917" max="6917" width="17.140625" style="116" customWidth="1"/>
    <col min="6918" max="6918" width="21.85546875" style="116" bestFit="1" customWidth="1"/>
    <col min="6919" max="6919" width="17.140625" style="116" bestFit="1" customWidth="1"/>
    <col min="6920" max="6920" width="18.140625" style="116" bestFit="1" customWidth="1"/>
    <col min="6921" max="6921" width="26.42578125" style="116" customWidth="1"/>
    <col min="6922" max="7166" width="9.140625" style="116"/>
    <col min="7167" max="7167" width="8.7109375" style="116" bestFit="1" customWidth="1"/>
    <col min="7168" max="7168" width="13.28515625" style="116" customWidth="1"/>
    <col min="7169" max="7169" width="16.140625" style="116" bestFit="1" customWidth="1"/>
    <col min="7170" max="7170" width="23.5703125" style="116" customWidth="1"/>
    <col min="7171" max="7171" width="17.28515625" style="116" customWidth="1"/>
    <col min="7172" max="7172" width="20.5703125" style="116" bestFit="1" customWidth="1"/>
    <col min="7173" max="7173" width="17.140625" style="116" customWidth="1"/>
    <col min="7174" max="7174" width="21.85546875" style="116" bestFit="1" customWidth="1"/>
    <col min="7175" max="7175" width="17.140625" style="116" bestFit="1" customWidth="1"/>
    <col min="7176" max="7176" width="18.140625" style="116" bestFit="1" customWidth="1"/>
    <col min="7177" max="7177" width="26.42578125" style="116" customWidth="1"/>
    <col min="7178" max="7422" width="9.140625" style="116"/>
    <col min="7423" max="7423" width="8.7109375" style="116" bestFit="1" customWidth="1"/>
    <col min="7424" max="7424" width="13.28515625" style="116" customWidth="1"/>
    <col min="7425" max="7425" width="16.140625" style="116" bestFit="1" customWidth="1"/>
    <col min="7426" max="7426" width="23.5703125" style="116" customWidth="1"/>
    <col min="7427" max="7427" width="17.28515625" style="116" customWidth="1"/>
    <col min="7428" max="7428" width="20.5703125" style="116" bestFit="1" customWidth="1"/>
    <col min="7429" max="7429" width="17.140625" style="116" customWidth="1"/>
    <col min="7430" max="7430" width="21.85546875" style="116" bestFit="1" customWidth="1"/>
    <col min="7431" max="7431" width="17.140625" style="116" bestFit="1" customWidth="1"/>
    <col min="7432" max="7432" width="18.140625" style="116" bestFit="1" customWidth="1"/>
    <col min="7433" max="7433" width="26.42578125" style="116" customWidth="1"/>
    <col min="7434" max="7678" width="9.140625" style="116"/>
    <col min="7679" max="7679" width="8.7109375" style="116" bestFit="1" customWidth="1"/>
    <col min="7680" max="7680" width="13.28515625" style="116" customWidth="1"/>
    <col min="7681" max="7681" width="16.140625" style="116" bestFit="1" customWidth="1"/>
    <col min="7682" max="7682" width="23.5703125" style="116" customWidth="1"/>
    <col min="7683" max="7683" width="17.28515625" style="116" customWidth="1"/>
    <col min="7684" max="7684" width="20.5703125" style="116" bestFit="1" customWidth="1"/>
    <col min="7685" max="7685" width="17.140625" style="116" customWidth="1"/>
    <col min="7686" max="7686" width="21.85546875" style="116" bestFit="1" customWidth="1"/>
    <col min="7687" max="7687" width="17.140625" style="116" bestFit="1" customWidth="1"/>
    <col min="7688" max="7688" width="18.140625" style="116" bestFit="1" customWidth="1"/>
    <col min="7689" max="7689" width="26.42578125" style="116" customWidth="1"/>
    <col min="7690" max="7934" width="9.140625" style="116"/>
    <col min="7935" max="7935" width="8.7109375" style="116" bestFit="1" customWidth="1"/>
    <col min="7936" max="7936" width="13.28515625" style="116" customWidth="1"/>
    <col min="7937" max="7937" width="16.140625" style="116" bestFit="1" customWidth="1"/>
    <col min="7938" max="7938" width="23.5703125" style="116" customWidth="1"/>
    <col min="7939" max="7939" width="17.28515625" style="116" customWidth="1"/>
    <col min="7940" max="7940" width="20.5703125" style="116" bestFit="1" customWidth="1"/>
    <col min="7941" max="7941" width="17.140625" style="116" customWidth="1"/>
    <col min="7942" max="7942" width="21.85546875" style="116" bestFit="1" customWidth="1"/>
    <col min="7943" max="7943" width="17.140625" style="116" bestFit="1" customWidth="1"/>
    <col min="7944" max="7944" width="18.140625" style="116" bestFit="1" customWidth="1"/>
    <col min="7945" max="7945" width="26.42578125" style="116" customWidth="1"/>
    <col min="7946" max="8190" width="9.140625" style="116"/>
    <col min="8191" max="8191" width="8.7109375" style="116" bestFit="1" customWidth="1"/>
    <col min="8192" max="8192" width="13.28515625" style="116" customWidth="1"/>
    <col min="8193" max="8193" width="16.140625" style="116" bestFit="1" customWidth="1"/>
    <col min="8194" max="8194" width="23.5703125" style="116" customWidth="1"/>
    <col min="8195" max="8195" width="17.28515625" style="116" customWidth="1"/>
    <col min="8196" max="8196" width="20.5703125" style="116" bestFit="1" customWidth="1"/>
    <col min="8197" max="8197" width="17.140625" style="116" customWidth="1"/>
    <col min="8198" max="8198" width="21.85546875" style="116" bestFit="1" customWidth="1"/>
    <col min="8199" max="8199" width="17.140625" style="116" bestFit="1" customWidth="1"/>
    <col min="8200" max="8200" width="18.140625" style="116" bestFit="1" customWidth="1"/>
    <col min="8201" max="8201" width="26.42578125" style="116" customWidth="1"/>
    <col min="8202" max="8446" width="9.140625" style="116"/>
    <col min="8447" max="8447" width="8.7109375" style="116" bestFit="1" customWidth="1"/>
    <col min="8448" max="8448" width="13.28515625" style="116" customWidth="1"/>
    <col min="8449" max="8449" width="16.140625" style="116" bestFit="1" customWidth="1"/>
    <col min="8450" max="8450" width="23.5703125" style="116" customWidth="1"/>
    <col min="8451" max="8451" width="17.28515625" style="116" customWidth="1"/>
    <col min="8452" max="8452" width="20.5703125" style="116" bestFit="1" customWidth="1"/>
    <col min="8453" max="8453" width="17.140625" style="116" customWidth="1"/>
    <col min="8454" max="8454" width="21.85546875" style="116" bestFit="1" customWidth="1"/>
    <col min="8455" max="8455" width="17.140625" style="116" bestFit="1" customWidth="1"/>
    <col min="8456" max="8456" width="18.140625" style="116" bestFit="1" customWidth="1"/>
    <col min="8457" max="8457" width="26.42578125" style="116" customWidth="1"/>
    <col min="8458" max="8702" width="9.140625" style="116"/>
    <col min="8703" max="8703" width="8.7109375" style="116" bestFit="1" customWidth="1"/>
    <col min="8704" max="8704" width="13.28515625" style="116" customWidth="1"/>
    <col min="8705" max="8705" width="16.140625" style="116" bestFit="1" customWidth="1"/>
    <col min="8706" max="8706" width="23.5703125" style="116" customWidth="1"/>
    <col min="8707" max="8707" width="17.28515625" style="116" customWidth="1"/>
    <col min="8708" max="8708" width="20.5703125" style="116" bestFit="1" customWidth="1"/>
    <col min="8709" max="8709" width="17.140625" style="116" customWidth="1"/>
    <col min="8710" max="8710" width="21.85546875" style="116" bestFit="1" customWidth="1"/>
    <col min="8711" max="8711" width="17.140625" style="116" bestFit="1" customWidth="1"/>
    <col min="8712" max="8712" width="18.140625" style="116" bestFit="1" customWidth="1"/>
    <col min="8713" max="8713" width="26.42578125" style="116" customWidth="1"/>
    <col min="8714" max="8958" width="9.140625" style="116"/>
    <col min="8959" max="8959" width="8.7109375" style="116" bestFit="1" customWidth="1"/>
    <col min="8960" max="8960" width="13.28515625" style="116" customWidth="1"/>
    <col min="8961" max="8961" width="16.140625" style="116" bestFit="1" customWidth="1"/>
    <col min="8962" max="8962" width="23.5703125" style="116" customWidth="1"/>
    <col min="8963" max="8963" width="17.28515625" style="116" customWidth="1"/>
    <col min="8964" max="8964" width="20.5703125" style="116" bestFit="1" customWidth="1"/>
    <col min="8965" max="8965" width="17.140625" style="116" customWidth="1"/>
    <col min="8966" max="8966" width="21.85546875" style="116" bestFit="1" customWidth="1"/>
    <col min="8967" max="8967" width="17.140625" style="116" bestFit="1" customWidth="1"/>
    <col min="8968" max="8968" width="18.140625" style="116" bestFit="1" customWidth="1"/>
    <col min="8969" max="8969" width="26.42578125" style="116" customWidth="1"/>
    <col min="8970" max="9214" width="9.140625" style="116"/>
    <col min="9215" max="9215" width="8.7109375" style="116" bestFit="1" customWidth="1"/>
    <col min="9216" max="9216" width="13.28515625" style="116" customWidth="1"/>
    <col min="9217" max="9217" width="16.140625" style="116" bestFit="1" customWidth="1"/>
    <col min="9218" max="9218" width="23.5703125" style="116" customWidth="1"/>
    <col min="9219" max="9219" width="17.28515625" style="116" customWidth="1"/>
    <col min="9220" max="9220" width="20.5703125" style="116" bestFit="1" customWidth="1"/>
    <col min="9221" max="9221" width="17.140625" style="116" customWidth="1"/>
    <col min="9222" max="9222" width="21.85546875" style="116" bestFit="1" customWidth="1"/>
    <col min="9223" max="9223" width="17.140625" style="116" bestFit="1" customWidth="1"/>
    <col min="9224" max="9224" width="18.140625" style="116" bestFit="1" customWidth="1"/>
    <col min="9225" max="9225" width="26.42578125" style="116" customWidth="1"/>
    <col min="9226" max="9470" width="9.140625" style="116"/>
    <col min="9471" max="9471" width="8.7109375" style="116" bestFit="1" customWidth="1"/>
    <col min="9472" max="9472" width="13.28515625" style="116" customWidth="1"/>
    <col min="9473" max="9473" width="16.140625" style="116" bestFit="1" customWidth="1"/>
    <col min="9474" max="9474" width="23.5703125" style="116" customWidth="1"/>
    <col min="9475" max="9475" width="17.28515625" style="116" customWidth="1"/>
    <col min="9476" max="9476" width="20.5703125" style="116" bestFit="1" customWidth="1"/>
    <col min="9477" max="9477" width="17.140625" style="116" customWidth="1"/>
    <col min="9478" max="9478" width="21.85546875" style="116" bestFit="1" customWidth="1"/>
    <col min="9479" max="9479" width="17.140625" style="116" bestFit="1" customWidth="1"/>
    <col min="9480" max="9480" width="18.140625" style="116" bestFit="1" customWidth="1"/>
    <col min="9481" max="9481" width="26.42578125" style="116" customWidth="1"/>
    <col min="9482" max="9726" width="9.140625" style="116"/>
    <col min="9727" max="9727" width="8.7109375" style="116" bestFit="1" customWidth="1"/>
    <col min="9728" max="9728" width="13.28515625" style="116" customWidth="1"/>
    <col min="9729" max="9729" width="16.140625" style="116" bestFit="1" customWidth="1"/>
    <col min="9730" max="9730" width="23.5703125" style="116" customWidth="1"/>
    <col min="9731" max="9731" width="17.28515625" style="116" customWidth="1"/>
    <col min="9732" max="9732" width="20.5703125" style="116" bestFit="1" customWidth="1"/>
    <col min="9733" max="9733" width="17.140625" style="116" customWidth="1"/>
    <col min="9734" max="9734" width="21.85546875" style="116" bestFit="1" customWidth="1"/>
    <col min="9735" max="9735" width="17.140625" style="116" bestFit="1" customWidth="1"/>
    <col min="9736" max="9736" width="18.140625" style="116" bestFit="1" customWidth="1"/>
    <col min="9737" max="9737" width="26.42578125" style="116" customWidth="1"/>
    <col min="9738" max="9982" width="9.140625" style="116"/>
    <col min="9983" max="9983" width="8.7109375" style="116" bestFit="1" customWidth="1"/>
    <col min="9984" max="9984" width="13.28515625" style="116" customWidth="1"/>
    <col min="9985" max="9985" width="16.140625" style="116" bestFit="1" customWidth="1"/>
    <col min="9986" max="9986" width="23.5703125" style="116" customWidth="1"/>
    <col min="9987" max="9987" width="17.28515625" style="116" customWidth="1"/>
    <col min="9988" max="9988" width="20.5703125" style="116" bestFit="1" customWidth="1"/>
    <col min="9989" max="9989" width="17.140625" style="116" customWidth="1"/>
    <col min="9990" max="9990" width="21.85546875" style="116" bestFit="1" customWidth="1"/>
    <col min="9991" max="9991" width="17.140625" style="116" bestFit="1" customWidth="1"/>
    <col min="9992" max="9992" width="18.140625" style="116" bestFit="1" customWidth="1"/>
    <col min="9993" max="9993" width="26.42578125" style="116" customWidth="1"/>
    <col min="9994" max="10238" width="9.140625" style="116"/>
    <col min="10239" max="10239" width="8.7109375" style="116" bestFit="1" customWidth="1"/>
    <col min="10240" max="10240" width="13.28515625" style="116" customWidth="1"/>
    <col min="10241" max="10241" width="16.140625" style="116" bestFit="1" customWidth="1"/>
    <col min="10242" max="10242" width="23.5703125" style="116" customWidth="1"/>
    <col min="10243" max="10243" width="17.28515625" style="116" customWidth="1"/>
    <col min="10244" max="10244" width="20.5703125" style="116" bestFit="1" customWidth="1"/>
    <col min="10245" max="10245" width="17.140625" style="116" customWidth="1"/>
    <col min="10246" max="10246" width="21.85546875" style="116" bestFit="1" customWidth="1"/>
    <col min="10247" max="10247" width="17.140625" style="116" bestFit="1" customWidth="1"/>
    <col min="10248" max="10248" width="18.140625" style="116" bestFit="1" customWidth="1"/>
    <col min="10249" max="10249" width="26.42578125" style="116" customWidth="1"/>
    <col min="10250" max="10494" width="9.140625" style="116"/>
    <col min="10495" max="10495" width="8.7109375" style="116" bestFit="1" customWidth="1"/>
    <col min="10496" max="10496" width="13.28515625" style="116" customWidth="1"/>
    <col min="10497" max="10497" width="16.140625" style="116" bestFit="1" customWidth="1"/>
    <col min="10498" max="10498" width="23.5703125" style="116" customWidth="1"/>
    <col min="10499" max="10499" width="17.28515625" style="116" customWidth="1"/>
    <col min="10500" max="10500" width="20.5703125" style="116" bestFit="1" customWidth="1"/>
    <col min="10501" max="10501" width="17.140625" style="116" customWidth="1"/>
    <col min="10502" max="10502" width="21.85546875" style="116" bestFit="1" customWidth="1"/>
    <col min="10503" max="10503" width="17.140625" style="116" bestFit="1" customWidth="1"/>
    <col min="10504" max="10504" width="18.140625" style="116" bestFit="1" customWidth="1"/>
    <col min="10505" max="10505" width="26.42578125" style="116" customWidth="1"/>
    <col min="10506" max="10750" width="9.140625" style="116"/>
    <col min="10751" max="10751" width="8.7109375" style="116" bestFit="1" customWidth="1"/>
    <col min="10752" max="10752" width="13.28515625" style="116" customWidth="1"/>
    <col min="10753" max="10753" width="16.140625" style="116" bestFit="1" customWidth="1"/>
    <col min="10754" max="10754" width="23.5703125" style="116" customWidth="1"/>
    <col min="10755" max="10755" width="17.28515625" style="116" customWidth="1"/>
    <col min="10756" max="10756" width="20.5703125" style="116" bestFit="1" customWidth="1"/>
    <col min="10757" max="10757" width="17.140625" style="116" customWidth="1"/>
    <col min="10758" max="10758" width="21.85546875" style="116" bestFit="1" customWidth="1"/>
    <col min="10759" max="10759" width="17.140625" style="116" bestFit="1" customWidth="1"/>
    <col min="10760" max="10760" width="18.140625" style="116" bestFit="1" customWidth="1"/>
    <col min="10761" max="10761" width="26.42578125" style="116" customWidth="1"/>
    <col min="10762" max="11006" width="9.140625" style="116"/>
    <col min="11007" max="11007" width="8.7109375" style="116" bestFit="1" customWidth="1"/>
    <col min="11008" max="11008" width="13.28515625" style="116" customWidth="1"/>
    <col min="11009" max="11009" width="16.140625" style="116" bestFit="1" customWidth="1"/>
    <col min="11010" max="11010" width="23.5703125" style="116" customWidth="1"/>
    <col min="11011" max="11011" width="17.28515625" style="116" customWidth="1"/>
    <col min="11012" max="11012" width="20.5703125" style="116" bestFit="1" customWidth="1"/>
    <col min="11013" max="11013" width="17.140625" style="116" customWidth="1"/>
    <col min="11014" max="11014" width="21.85546875" style="116" bestFit="1" customWidth="1"/>
    <col min="11015" max="11015" width="17.140625" style="116" bestFit="1" customWidth="1"/>
    <col min="11016" max="11016" width="18.140625" style="116" bestFit="1" customWidth="1"/>
    <col min="11017" max="11017" width="26.42578125" style="116" customWidth="1"/>
    <col min="11018" max="11262" width="9.140625" style="116"/>
    <col min="11263" max="11263" width="8.7109375" style="116" bestFit="1" customWidth="1"/>
    <col min="11264" max="11264" width="13.28515625" style="116" customWidth="1"/>
    <col min="11265" max="11265" width="16.140625" style="116" bestFit="1" customWidth="1"/>
    <col min="11266" max="11266" width="23.5703125" style="116" customWidth="1"/>
    <col min="11267" max="11267" width="17.28515625" style="116" customWidth="1"/>
    <col min="11268" max="11268" width="20.5703125" style="116" bestFit="1" customWidth="1"/>
    <col min="11269" max="11269" width="17.140625" style="116" customWidth="1"/>
    <col min="11270" max="11270" width="21.85546875" style="116" bestFit="1" customWidth="1"/>
    <col min="11271" max="11271" width="17.140625" style="116" bestFit="1" customWidth="1"/>
    <col min="11272" max="11272" width="18.140625" style="116" bestFit="1" customWidth="1"/>
    <col min="11273" max="11273" width="26.42578125" style="116" customWidth="1"/>
    <col min="11274" max="11518" width="9.140625" style="116"/>
    <col min="11519" max="11519" width="8.7109375" style="116" bestFit="1" customWidth="1"/>
    <col min="11520" max="11520" width="13.28515625" style="116" customWidth="1"/>
    <col min="11521" max="11521" width="16.140625" style="116" bestFit="1" customWidth="1"/>
    <col min="11522" max="11522" width="23.5703125" style="116" customWidth="1"/>
    <col min="11523" max="11523" width="17.28515625" style="116" customWidth="1"/>
    <col min="11524" max="11524" width="20.5703125" style="116" bestFit="1" customWidth="1"/>
    <col min="11525" max="11525" width="17.140625" style="116" customWidth="1"/>
    <col min="11526" max="11526" width="21.85546875" style="116" bestFit="1" customWidth="1"/>
    <col min="11527" max="11527" width="17.140625" style="116" bestFit="1" customWidth="1"/>
    <col min="11528" max="11528" width="18.140625" style="116" bestFit="1" customWidth="1"/>
    <col min="11529" max="11529" width="26.42578125" style="116" customWidth="1"/>
    <col min="11530" max="11774" width="9.140625" style="116"/>
    <col min="11775" max="11775" width="8.7109375" style="116" bestFit="1" customWidth="1"/>
    <col min="11776" max="11776" width="13.28515625" style="116" customWidth="1"/>
    <col min="11777" max="11777" width="16.140625" style="116" bestFit="1" customWidth="1"/>
    <col min="11778" max="11778" width="23.5703125" style="116" customWidth="1"/>
    <col min="11779" max="11779" width="17.28515625" style="116" customWidth="1"/>
    <col min="11780" max="11780" width="20.5703125" style="116" bestFit="1" customWidth="1"/>
    <col min="11781" max="11781" width="17.140625" style="116" customWidth="1"/>
    <col min="11782" max="11782" width="21.85546875" style="116" bestFit="1" customWidth="1"/>
    <col min="11783" max="11783" width="17.140625" style="116" bestFit="1" customWidth="1"/>
    <col min="11784" max="11784" width="18.140625" style="116" bestFit="1" customWidth="1"/>
    <col min="11785" max="11785" width="26.42578125" style="116" customWidth="1"/>
    <col min="11786" max="12030" width="9.140625" style="116"/>
    <col min="12031" max="12031" width="8.7109375" style="116" bestFit="1" customWidth="1"/>
    <col min="12032" max="12032" width="13.28515625" style="116" customWidth="1"/>
    <col min="12033" max="12033" width="16.140625" style="116" bestFit="1" customWidth="1"/>
    <col min="12034" max="12034" width="23.5703125" style="116" customWidth="1"/>
    <col min="12035" max="12035" width="17.28515625" style="116" customWidth="1"/>
    <col min="12036" max="12036" width="20.5703125" style="116" bestFit="1" customWidth="1"/>
    <col min="12037" max="12037" width="17.140625" style="116" customWidth="1"/>
    <col min="12038" max="12038" width="21.85546875" style="116" bestFit="1" customWidth="1"/>
    <col min="12039" max="12039" width="17.140625" style="116" bestFit="1" customWidth="1"/>
    <col min="12040" max="12040" width="18.140625" style="116" bestFit="1" customWidth="1"/>
    <col min="12041" max="12041" width="26.42578125" style="116" customWidth="1"/>
    <col min="12042" max="12286" width="9.140625" style="116"/>
    <col min="12287" max="12287" width="8.7109375" style="116" bestFit="1" customWidth="1"/>
    <col min="12288" max="12288" width="13.28515625" style="116" customWidth="1"/>
    <col min="12289" max="12289" width="16.140625" style="116" bestFit="1" customWidth="1"/>
    <col min="12290" max="12290" width="23.5703125" style="116" customWidth="1"/>
    <col min="12291" max="12291" width="17.28515625" style="116" customWidth="1"/>
    <col min="12292" max="12292" width="20.5703125" style="116" bestFit="1" customWidth="1"/>
    <col min="12293" max="12293" width="17.140625" style="116" customWidth="1"/>
    <col min="12294" max="12294" width="21.85546875" style="116" bestFit="1" customWidth="1"/>
    <col min="12295" max="12295" width="17.140625" style="116" bestFit="1" customWidth="1"/>
    <col min="12296" max="12296" width="18.140625" style="116" bestFit="1" customWidth="1"/>
    <col min="12297" max="12297" width="26.42578125" style="116" customWidth="1"/>
    <col min="12298" max="12542" width="9.140625" style="116"/>
    <col min="12543" max="12543" width="8.7109375" style="116" bestFit="1" customWidth="1"/>
    <col min="12544" max="12544" width="13.28515625" style="116" customWidth="1"/>
    <col min="12545" max="12545" width="16.140625" style="116" bestFit="1" customWidth="1"/>
    <col min="12546" max="12546" width="23.5703125" style="116" customWidth="1"/>
    <col min="12547" max="12547" width="17.28515625" style="116" customWidth="1"/>
    <col min="12548" max="12548" width="20.5703125" style="116" bestFit="1" customWidth="1"/>
    <col min="12549" max="12549" width="17.140625" style="116" customWidth="1"/>
    <col min="12550" max="12550" width="21.85546875" style="116" bestFit="1" customWidth="1"/>
    <col min="12551" max="12551" width="17.140625" style="116" bestFit="1" customWidth="1"/>
    <col min="12552" max="12552" width="18.140625" style="116" bestFit="1" customWidth="1"/>
    <col min="12553" max="12553" width="26.42578125" style="116" customWidth="1"/>
    <col min="12554" max="12798" width="9.140625" style="116"/>
    <col min="12799" max="12799" width="8.7109375" style="116" bestFit="1" customWidth="1"/>
    <col min="12800" max="12800" width="13.28515625" style="116" customWidth="1"/>
    <col min="12801" max="12801" width="16.140625" style="116" bestFit="1" customWidth="1"/>
    <col min="12802" max="12802" width="23.5703125" style="116" customWidth="1"/>
    <col min="12803" max="12803" width="17.28515625" style="116" customWidth="1"/>
    <col min="12804" max="12804" width="20.5703125" style="116" bestFit="1" customWidth="1"/>
    <col min="12805" max="12805" width="17.140625" style="116" customWidth="1"/>
    <col min="12806" max="12806" width="21.85546875" style="116" bestFit="1" customWidth="1"/>
    <col min="12807" max="12807" width="17.140625" style="116" bestFit="1" customWidth="1"/>
    <col min="12808" max="12808" width="18.140625" style="116" bestFit="1" customWidth="1"/>
    <col min="12809" max="12809" width="26.42578125" style="116" customWidth="1"/>
    <col min="12810" max="13054" width="9.140625" style="116"/>
    <col min="13055" max="13055" width="8.7109375" style="116" bestFit="1" customWidth="1"/>
    <col min="13056" max="13056" width="13.28515625" style="116" customWidth="1"/>
    <col min="13057" max="13057" width="16.140625" style="116" bestFit="1" customWidth="1"/>
    <col min="13058" max="13058" width="23.5703125" style="116" customWidth="1"/>
    <col min="13059" max="13059" width="17.28515625" style="116" customWidth="1"/>
    <col min="13060" max="13060" width="20.5703125" style="116" bestFit="1" customWidth="1"/>
    <col min="13061" max="13061" width="17.140625" style="116" customWidth="1"/>
    <col min="13062" max="13062" width="21.85546875" style="116" bestFit="1" customWidth="1"/>
    <col min="13063" max="13063" width="17.140625" style="116" bestFit="1" customWidth="1"/>
    <col min="13064" max="13064" width="18.140625" style="116" bestFit="1" customWidth="1"/>
    <col min="13065" max="13065" width="26.42578125" style="116" customWidth="1"/>
    <col min="13066" max="13310" width="9.140625" style="116"/>
    <col min="13311" max="13311" width="8.7109375" style="116" bestFit="1" customWidth="1"/>
    <col min="13312" max="13312" width="13.28515625" style="116" customWidth="1"/>
    <col min="13313" max="13313" width="16.140625" style="116" bestFit="1" customWidth="1"/>
    <col min="13314" max="13314" width="23.5703125" style="116" customWidth="1"/>
    <col min="13315" max="13315" width="17.28515625" style="116" customWidth="1"/>
    <col min="13316" max="13316" width="20.5703125" style="116" bestFit="1" customWidth="1"/>
    <col min="13317" max="13317" width="17.140625" style="116" customWidth="1"/>
    <col min="13318" max="13318" width="21.85546875" style="116" bestFit="1" customWidth="1"/>
    <col min="13319" max="13319" width="17.140625" style="116" bestFit="1" customWidth="1"/>
    <col min="13320" max="13320" width="18.140625" style="116" bestFit="1" customWidth="1"/>
    <col min="13321" max="13321" width="26.42578125" style="116" customWidth="1"/>
    <col min="13322" max="13566" width="9.140625" style="116"/>
    <col min="13567" max="13567" width="8.7109375" style="116" bestFit="1" customWidth="1"/>
    <col min="13568" max="13568" width="13.28515625" style="116" customWidth="1"/>
    <col min="13569" max="13569" width="16.140625" style="116" bestFit="1" customWidth="1"/>
    <col min="13570" max="13570" width="23.5703125" style="116" customWidth="1"/>
    <col min="13571" max="13571" width="17.28515625" style="116" customWidth="1"/>
    <col min="13572" max="13572" width="20.5703125" style="116" bestFit="1" customWidth="1"/>
    <col min="13573" max="13573" width="17.140625" style="116" customWidth="1"/>
    <col min="13574" max="13574" width="21.85546875" style="116" bestFit="1" customWidth="1"/>
    <col min="13575" max="13575" width="17.140625" style="116" bestFit="1" customWidth="1"/>
    <col min="13576" max="13576" width="18.140625" style="116" bestFit="1" customWidth="1"/>
    <col min="13577" max="13577" width="26.42578125" style="116" customWidth="1"/>
    <col min="13578" max="13822" width="9.140625" style="116"/>
    <col min="13823" max="13823" width="8.7109375" style="116" bestFit="1" customWidth="1"/>
    <col min="13824" max="13824" width="13.28515625" style="116" customWidth="1"/>
    <col min="13825" max="13825" width="16.140625" style="116" bestFit="1" customWidth="1"/>
    <col min="13826" max="13826" width="23.5703125" style="116" customWidth="1"/>
    <col min="13827" max="13827" width="17.28515625" style="116" customWidth="1"/>
    <col min="13828" max="13828" width="20.5703125" style="116" bestFit="1" customWidth="1"/>
    <col min="13829" max="13829" width="17.140625" style="116" customWidth="1"/>
    <col min="13830" max="13830" width="21.85546875" style="116" bestFit="1" customWidth="1"/>
    <col min="13831" max="13831" width="17.140625" style="116" bestFit="1" customWidth="1"/>
    <col min="13832" max="13832" width="18.140625" style="116" bestFit="1" customWidth="1"/>
    <col min="13833" max="13833" width="26.42578125" style="116" customWidth="1"/>
    <col min="13834" max="14078" width="9.140625" style="116"/>
    <col min="14079" max="14079" width="8.7109375" style="116" bestFit="1" customWidth="1"/>
    <col min="14080" max="14080" width="13.28515625" style="116" customWidth="1"/>
    <col min="14081" max="14081" width="16.140625" style="116" bestFit="1" customWidth="1"/>
    <col min="14082" max="14082" width="23.5703125" style="116" customWidth="1"/>
    <col min="14083" max="14083" width="17.28515625" style="116" customWidth="1"/>
    <col min="14084" max="14084" width="20.5703125" style="116" bestFit="1" customWidth="1"/>
    <col min="14085" max="14085" width="17.140625" style="116" customWidth="1"/>
    <col min="14086" max="14086" width="21.85546875" style="116" bestFit="1" customWidth="1"/>
    <col min="14087" max="14087" width="17.140625" style="116" bestFit="1" customWidth="1"/>
    <col min="14088" max="14088" width="18.140625" style="116" bestFit="1" customWidth="1"/>
    <col min="14089" max="14089" width="26.42578125" style="116" customWidth="1"/>
    <col min="14090" max="14334" width="9.140625" style="116"/>
    <col min="14335" max="14335" width="8.7109375" style="116" bestFit="1" customWidth="1"/>
    <col min="14336" max="14336" width="13.28515625" style="116" customWidth="1"/>
    <col min="14337" max="14337" width="16.140625" style="116" bestFit="1" customWidth="1"/>
    <col min="14338" max="14338" width="23.5703125" style="116" customWidth="1"/>
    <col min="14339" max="14339" width="17.28515625" style="116" customWidth="1"/>
    <col min="14340" max="14340" width="20.5703125" style="116" bestFit="1" customWidth="1"/>
    <col min="14341" max="14341" width="17.140625" style="116" customWidth="1"/>
    <col min="14342" max="14342" width="21.85546875" style="116" bestFit="1" customWidth="1"/>
    <col min="14343" max="14343" width="17.140625" style="116" bestFit="1" customWidth="1"/>
    <col min="14344" max="14344" width="18.140625" style="116" bestFit="1" customWidth="1"/>
    <col min="14345" max="14345" width="26.42578125" style="116" customWidth="1"/>
    <col min="14346" max="14590" width="9.140625" style="116"/>
    <col min="14591" max="14591" width="8.7109375" style="116" bestFit="1" customWidth="1"/>
    <col min="14592" max="14592" width="13.28515625" style="116" customWidth="1"/>
    <col min="14593" max="14593" width="16.140625" style="116" bestFit="1" customWidth="1"/>
    <col min="14594" max="14594" width="23.5703125" style="116" customWidth="1"/>
    <col min="14595" max="14595" width="17.28515625" style="116" customWidth="1"/>
    <col min="14596" max="14596" width="20.5703125" style="116" bestFit="1" customWidth="1"/>
    <col min="14597" max="14597" width="17.140625" style="116" customWidth="1"/>
    <col min="14598" max="14598" width="21.85546875" style="116" bestFit="1" customWidth="1"/>
    <col min="14599" max="14599" width="17.140625" style="116" bestFit="1" customWidth="1"/>
    <col min="14600" max="14600" width="18.140625" style="116" bestFit="1" customWidth="1"/>
    <col min="14601" max="14601" width="26.42578125" style="116" customWidth="1"/>
    <col min="14602" max="14846" width="9.140625" style="116"/>
    <col min="14847" max="14847" width="8.7109375" style="116" bestFit="1" customWidth="1"/>
    <col min="14848" max="14848" width="13.28515625" style="116" customWidth="1"/>
    <col min="14849" max="14849" width="16.140625" style="116" bestFit="1" customWidth="1"/>
    <col min="14850" max="14850" width="23.5703125" style="116" customWidth="1"/>
    <col min="14851" max="14851" width="17.28515625" style="116" customWidth="1"/>
    <col min="14852" max="14852" width="20.5703125" style="116" bestFit="1" customWidth="1"/>
    <col min="14853" max="14853" width="17.140625" style="116" customWidth="1"/>
    <col min="14854" max="14854" width="21.85546875" style="116" bestFit="1" customWidth="1"/>
    <col min="14855" max="14855" width="17.140625" style="116" bestFit="1" customWidth="1"/>
    <col min="14856" max="14856" width="18.140625" style="116" bestFit="1" customWidth="1"/>
    <col min="14857" max="14857" width="26.42578125" style="116" customWidth="1"/>
    <col min="14858" max="15102" width="9.140625" style="116"/>
    <col min="15103" max="15103" width="8.7109375" style="116" bestFit="1" customWidth="1"/>
    <col min="15104" max="15104" width="13.28515625" style="116" customWidth="1"/>
    <col min="15105" max="15105" width="16.140625" style="116" bestFit="1" customWidth="1"/>
    <col min="15106" max="15106" width="23.5703125" style="116" customWidth="1"/>
    <col min="15107" max="15107" width="17.28515625" style="116" customWidth="1"/>
    <col min="15108" max="15108" width="20.5703125" style="116" bestFit="1" customWidth="1"/>
    <col min="15109" max="15109" width="17.140625" style="116" customWidth="1"/>
    <col min="15110" max="15110" width="21.85546875" style="116" bestFit="1" customWidth="1"/>
    <col min="15111" max="15111" width="17.140625" style="116" bestFit="1" customWidth="1"/>
    <col min="15112" max="15112" width="18.140625" style="116" bestFit="1" customWidth="1"/>
    <col min="15113" max="15113" width="26.42578125" style="116" customWidth="1"/>
    <col min="15114" max="15358" width="9.140625" style="116"/>
    <col min="15359" max="15359" width="8.7109375" style="116" bestFit="1" customWidth="1"/>
    <col min="15360" max="15360" width="13.28515625" style="116" customWidth="1"/>
    <col min="15361" max="15361" width="16.140625" style="116" bestFit="1" customWidth="1"/>
    <col min="15362" max="15362" width="23.5703125" style="116" customWidth="1"/>
    <col min="15363" max="15363" width="17.28515625" style="116" customWidth="1"/>
    <col min="15364" max="15364" width="20.5703125" style="116" bestFit="1" customWidth="1"/>
    <col min="15365" max="15365" width="17.140625" style="116" customWidth="1"/>
    <col min="15366" max="15366" width="21.85546875" style="116" bestFit="1" customWidth="1"/>
    <col min="15367" max="15367" width="17.140625" style="116" bestFit="1" customWidth="1"/>
    <col min="15368" max="15368" width="18.140625" style="116" bestFit="1" customWidth="1"/>
    <col min="15369" max="15369" width="26.42578125" style="116" customWidth="1"/>
    <col min="15370" max="15614" width="9.140625" style="116"/>
    <col min="15615" max="15615" width="8.7109375" style="116" bestFit="1" customWidth="1"/>
    <col min="15616" max="15616" width="13.28515625" style="116" customWidth="1"/>
    <col min="15617" max="15617" width="16.140625" style="116" bestFit="1" customWidth="1"/>
    <col min="15618" max="15618" width="23.5703125" style="116" customWidth="1"/>
    <col min="15619" max="15619" width="17.28515625" style="116" customWidth="1"/>
    <col min="15620" max="15620" width="20.5703125" style="116" bestFit="1" customWidth="1"/>
    <col min="15621" max="15621" width="17.140625" style="116" customWidth="1"/>
    <col min="15622" max="15622" width="21.85546875" style="116" bestFit="1" customWidth="1"/>
    <col min="15623" max="15623" width="17.140625" style="116" bestFit="1" customWidth="1"/>
    <col min="15624" max="15624" width="18.140625" style="116" bestFit="1" customWidth="1"/>
    <col min="15625" max="15625" width="26.42578125" style="116" customWidth="1"/>
    <col min="15626" max="15870" width="9.140625" style="116"/>
    <col min="15871" max="15871" width="8.7109375" style="116" bestFit="1" customWidth="1"/>
    <col min="15872" max="15872" width="13.28515625" style="116" customWidth="1"/>
    <col min="15873" max="15873" width="16.140625" style="116" bestFit="1" customWidth="1"/>
    <col min="15874" max="15874" width="23.5703125" style="116" customWidth="1"/>
    <col min="15875" max="15875" width="17.28515625" style="116" customWidth="1"/>
    <col min="15876" max="15876" width="20.5703125" style="116" bestFit="1" customWidth="1"/>
    <col min="15877" max="15877" width="17.140625" style="116" customWidth="1"/>
    <col min="15878" max="15878" width="21.85546875" style="116" bestFit="1" customWidth="1"/>
    <col min="15879" max="15879" width="17.140625" style="116" bestFit="1" customWidth="1"/>
    <col min="15880" max="15880" width="18.140625" style="116" bestFit="1" customWidth="1"/>
    <col min="15881" max="15881" width="26.42578125" style="116" customWidth="1"/>
    <col min="15882" max="16126" width="9.140625" style="116"/>
    <col min="16127" max="16127" width="8.7109375" style="116" bestFit="1" customWidth="1"/>
    <col min="16128" max="16128" width="13.28515625" style="116" customWidth="1"/>
    <col min="16129" max="16129" width="16.140625" style="116" bestFit="1" customWidth="1"/>
    <col min="16130" max="16130" width="23.5703125" style="116" customWidth="1"/>
    <col min="16131" max="16131" width="17.28515625" style="116" customWidth="1"/>
    <col min="16132" max="16132" width="20.5703125" style="116" bestFit="1" customWidth="1"/>
    <col min="16133" max="16133" width="17.140625" style="116" customWidth="1"/>
    <col min="16134" max="16134" width="21.85546875" style="116" bestFit="1" customWidth="1"/>
    <col min="16135" max="16135" width="17.140625" style="116" bestFit="1" customWidth="1"/>
    <col min="16136" max="16136" width="18.140625" style="116" bestFit="1" customWidth="1"/>
    <col min="16137" max="16137" width="26.42578125" style="116" customWidth="1"/>
    <col min="16138" max="16384" width="9.140625" style="116"/>
  </cols>
  <sheetData>
    <row r="1" spans="11:12" s="134" customFormat="1" x14ac:dyDescent="0.2">
      <c r="K1" s="482"/>
      <c r="L1" s="481"/>
    </row>
    <row r="2" spans="11:12" s="134" customFormat="1" x14ac:dyDescent="0.2">
      <c r="K2" s="482"/>
      <c r="L2" s="481"/>
    </row>
    <row r="3" spans="11:12" s="134" customFormat="1" x14ac:dyDescent="0.2">
      <c r="K3" s="482"/>
      <c r="L3" s="481"/>
    </row>
    <row r="4" spans="11:12" s="134" customFormat="1" x14ac:dyDescent="0.2">
      <c r="K4" s="482"/>
      <c r="L4" s="481"/>
    </row>
    <row r="5" spans="11:12" s="134" customFormat="1" x14ac:dyDescent="0.2">
      <c r="K5" s="482"/>
      <c r="L5" s="481"/>
    </row>
    <row r="6" spans="11:12" s="134" customFormat="1" x14ac:dyDescent="0.2">
      <c r="K6" s="482"/>
      <c r="L6" s="481"/>
    </row>
    <row r="7" spans="11:12" s="134" customFormat="1" x14ac:dyDescent="0.2">
      <c r="K7" s="482"/>
      <c r="L7" s="481"/>
    </row>
    <row r="8" spans="11:12" s="134" customFormat="1" x14ac:dyDescent="0.2">
      <c r="K8" s="482"/>
      <c r="L8" s="481"/>
    </row>
    <row r="9" spans="11:12" s="134" customFormat="1" x14ac:dyDescent="0.2">
      <c r="K9" s="482"/>
      <c r="L9" s="481"/>
    </row>
    <row r="10" spans="11:12" s="134" customFormat="1" x14ac:dyDescent="0.2">
      <c r="K10" s="482"/>
      <c r="L10" s="481"/>
    </row>
    <row r="11" spans="11:12" s="134" customFormat="1" x14ac:dyDescent="0.2">
      <c r="K11" s="482"/>
      <c r="L11" s="481"/>
    </row>
    <row r="12" spans="11:12" s="134" customFormat="1" x14ac:dyDescent="0.2">
      <c r="K12" s="482"/>
      <c r="L12" s="481"/>
    </row>
    <row r="13" spans="11:12" s="134" customFormat="1" x14ac:dyDescent="0.2">
      <c r="K13" s="482"/>
      <c r="L13" s="481"/>
    </row>
    <row r="14" spans="11:12" s="134" customFormat="1" x14ac:dyDescent="0.2">
      <c r="K14" s="482"/>
      <c r="L14" s="481"/>
    </row>
    <row r="15" spans="11:12" s="134" customFormat="1" x14ac:dyDescent="0.2">
      <c r="K15" s="482"/>
      <c r="L15" s="481"/>
    </row>
    <row r="16" spans="11:12" s="134" customFormat="1" x14ac:dyDescent="0.2">
      <c r="K16" s="482"/>
      <c r="L16" s="481"/>
    </row>
    <row r="17" spans="1:17" s="134" customFormat="1" x14ac:dyDescent="0.2">
      <c r="K17" s="482"/>
      <c r="L17" s="481"/>
    </row>
    <row r="18" spans="1:17" s="134" customFormat="1" x14ac:dyDescent="0.2">
      <c r="K18" s="482"/>
      <c r="L18" s="481"/>
    </row>
    <row r="19" spans="1:17" s="134" customFormat="1" x14ac:dyDescent="0.2">
      <c r="K19" s="482"/>
      <c r="L19" s="481"/>
    </row>
    <row r="20" spans="1:17" s="134" customFormat="1" x14ac:dyDescent="0.2">
      <c r="K20" s="482"/>
      <c r="L20" s="481"/>
    </row>
    <row r="21" spans="1:17" s="134" customFormat="1" x14ac:dyDescent="0.2">
      <c r="K21" s="482"/>
      <c r="L21" s="481"/>
    </row>
    <row r="22" spans="1:17" s="134" customFormat="1" x14ac:dyDescent="0.2">
      <c r="K22" s="482"/>
      <c r="L22" s="481"/>
    </row>
    <row r="23" spans="1:17" s="134" customFormat="1" x14ac:dyDescent="0.2">
      <c r="K23" s="482"/>
      <c r="L23" s="481"/>
    </row>
    <row r="24" spans="1:17" s="134" customFormat="1" x14ac:dyDescent="0.2">
      <c r="K24" s="482"/>
      <c r="L24" s="481"/>
    </row>
    <row r="25" spans="1:17" s="134" customFormat="1" x14ac:dyDescent="0.2">
      <c r="K25" s="482"/>
      <c r="L25" s="481"/>
    </row>
    <row r="26" spans="1:17" s="134" customFormat="1" x14ac:dyDescent="0.2">
      <c r="K26" s="482"/>
      <c r="L26" s="481"/>
    </row>
    <row r="27" spans="1:17" s="134" customFormat="1" x14ac:dyDescent="0.2">
      <c r="K27" s="482"/>
      <c r="L27" s="481"/>
    </row>
    <row r="28" spans="1:17" s="134" customFormat="1" ht="24.75" customHeight="1" x14ac:dyDescent="0.25">
      <c r="A28" s="508" t="str">
        <f>CHOOSE(MODE, 'Variable Mgmt'!K11,'Variable Mgmt'!K12)</f>
        <v>SINGLE Output PSR Flyback Converter, VIN = 24 V, VOUT = 5 V, IOUT = 1 A</v>
      </c>
      <c r="K28" s="481"/>
      <c r="L28" s="481"/>
    </row>
    <row r="29" spans="1:17" ht="24.75" customHeight="1" thickBot="1" x14ac:dyDescent="0.25">
      <c r="A29" s="117" t="s">
        <v>542</v>
      </c>
    </row>
    <row r="30" spans="1:17" ht="18" customHeight="1" x14ac:dyDescent="0.2">
      <c r="A30" s="208" t="s">
        <v>123</v>
      </c>
      <c r="B30" s="209" t="s">
        <v>122</v>
      </c>
      <c r="C30" s="209" t="s">
        <v>6</v>
      </c>
      <c r="D30" s="669" t="s">
        <v>41</v>
      </c>
      <c r="E30" s="670"/>
      <c r="F30" s="671"/>
      <c r="G30" s="209" t="s">
        <v>116</v>
      </c>
      <c r="H30" s="209" t="s">
        <v>67</v>
      </c>
      <c r="I30" s="500" t="s">
        <v>117</v>
      </c>
      <c r="J30" s="501" t="s">
        <v>350</v>
      </c>
      <c r="K30" s="502" t="s">
        <v>359</v>
      </c>
      <c r="L30" s="475"/>
      <c r="N30" s="119"/>
      <c r="Q30" s="507"/>
    </row>
    <row r="31" spans="1:17" s="119" customFormat="1" ht="17.100000000000001" customHeight="1" x14ac:dyDescent="0.2">
      <c r="A31" s="118">
        <f>ROUNDUP('Design Converter'!E17/10,0)</f>
        <v>1</v>
      </c>
      <c r="B31" s="130" t="s">
        <v>120</v>
      </c>
      <c r="C31" s="133">
        <f>Cin</f>
        <v>4.7</v>
      </c>
      <c r="D31" s="667" t="str">
        <f>IF(VIN_max&gt;35, "Capacitor, Ceramic, "&amp;'Variable Mgmt'!B218&amp;", 100V, X7R, 10%", "Capacitor, Ceramic, "&amp;'Variable Mgmt'!B218&amp;", 50V, X7R, 10%")</f>
        <v>Capacitor, Ceramic, 4.7µF, 100V, X7R, 10%</v>
      </c>
      <c r="E31" s="668"/>
      <c r="F31" s="668"/>
      <c r="G31" s="131"/>
      <c r="H31" s="132" t="s">
        <v>118</v>
      </c>
      <c r="I31" s="487" t="s">
        <v>118</v>
      </c>
      <c r="J31" s="496" t="str">
        <f>CHOOSE(Q31,'Variable Mgmt'!T56,'Variable Mgmt'!T57,'Variable Mgmt'!T58,'Variable Mgmt'!T59,'Variable Mgmt'!T60)</f>
        <v>3.2 x 2.5</v>
      </c>
      <c r="K31" s="494">
        <f>CHOOSE(Q31,'Variable Mgmt'!U56,'Variable Mgmt'!U57,'Variable Mgmt'!U58,'Variable Mgmt'!U59,'Variable Mgmt'!U60)</f>
        <v>8</v>
      </c>
      <c r="L31" s="499"/>
      <c r="Q31" s="505">
        <v>5</v>
      </c>
    </row>
    <row r="32" spans="1:17" s="119" customFormat="1" ht="17.100000000000001" customHeight="1" x14ac:dyDescent="0.2">
      <c r="A32" s="118">
        <v>1</v>
      </c>
      <c r="B32" s="130" t="s">
        <v>121</v>
      </c>
      <c r="C32" s="133">
        <f>Cout</f>
        <v>100</v>
      </c>
      <c r="D32" s="683" t="str">
        <f>CHOOSE(Cout_Voltage_Rating, "Capacitor, Ceramic, "&amp;'Variable Mgmt'!B213&amp;", 6.3V, X7R, 10%", "Capacitor, Ceramic, "&amp;'Variable Mgmt'!B213&amp;", 10V, X7R, 10%", "Capacitor, Ceramic, "&amp;'Variable Mgmt'!B213&amp;", 16V, X7R, 10%", "Capacitor, Ceramic, "&amp;'Variable Mgmt'!B213&amp;", 25V, X7R, 10%",  "Capacitor, Ceramic, "&amp;'Variable Mgmt'!B213&amp;", 50V, X7R, 10%")</f>
        <v>Capacitor, Ceramic, 100µF, 6.3V, X7R, 10%</v>
      </c>
      <c r="E32" s="684"/>
      <c r="F32" s="684"/>
      <c r="G32" s="131"/>
      <c r="H32" s="132" t="s">
        <v>118</v>
      </c>
      <c r="I32" s="487" t="s">
        <v>118</v>
      </c>
      <c r="J32" s="496" t="str">
        <f>CHOOSE(Q32,'Variable Mgmt'!T56,'Variable Mgmt'!T57,'Variable Mgmt'!T58,'Variable Mgmt'!T59,'Variable Mgmt'!T60)</f>
        <v>3.2 x 2.5</v>
      </c>
      <c r="K32" s="494">
        <f>CHOOSE(Q32,'Variable Mgmt'!U56,'Variable Mgmt'!U57,'Variable Mgmt'!U58,'Variable Mgmt'!U59,'Variable Mgmt'!U60)</f>
        <v>8</v>
      </c>
      <c r="L32" s="499"/>
      <c r="Q32" s="506">
        <v>5</v>
      </c>
    </row>
    <row r="33" spans="1:17" s="119" customFormat="1" ht="17.100000000000001" customHeight="1" x14ac:dyDescent="0.2">
      <c r="A33" s="118" t="str">
        <f>CHOOSE(MODE, "-", "1")</f>
        <v>-</v>
      </c>
      <c r="B33" s="130" t="s">
        <v>648</v>
      </c>
      <c r="C33" s="133" t="str">
        <f>CHOOSE(MODE, "-", Cout2)</f>
        <v>-</v>
      </c>
      <c r="D33" s="619" t="str">
        <f>CHOOSE(MODE, "-", CHOOSE(Cout_Voltage_Rating, "Capacitor, Ceramic, "&amp;'Variable Mgmt'!F213&amp;", 6.3V, X7R, 10%", "Capacitor, Ceramic, "&amp;'Variable Mgmt'!F213&amp;", 10V, X7R, 10%", "Capacitor, Ceramic, "&amp;'Variable Mgmt'!F213&amp;", 16V, X7R, 10%", "Capacitor, Ceramic, "&amp;'Variable Mgmt'!F213&amp;", 25V, X7R, 10%",  "Capacitor, Ceramic, "&amp;'Variable Mgmt'!F213&amp;", 50V, X7R, 10%"))</f>
        <v>-</v>
      </c>
      <c r="E33" s="620"/>
      <c r="F33" s="620"/>
      <c r="G33" s="131"/>
      <c r="H33" s="132" t="str">
        <f>CHOOSE(MODE, "-", "Std")</f>
        <v>-</v>
      </c>
      <c r="I33" s="487" t="str">
        <f>CHOOSE(MODE, "-", "Std")</f>
        <v>-</v>
      </c>
      <c r="J33" s="496" t="str">
        <f>CHOOSE(MODE, "-", CHOOSE(Q33,'Variable Mgmt'!T56,'Variable Mgmt'!T57,'Variable Mgmt'!T58,'Variable Mgmt'!T59,'Variable Mgmt'!T60))</f>
        <v>-</v>
      </c>
      <c r="K33" s="494" t="str">
        <f>CHOOSE(MODE, "-", CHOOSE(Q33,'Variable Mgmt'!U56,'Variable Mgmt'!U57,'Variable Mgmt'!U58,'Variable Mgmt'!U59,'Variable Mgmt'!U60))</f>
        <v>-</v>
      </c>
      <c r="L33" s="499"/>
      <c r="Q33" s="506">
        <v>5</v>
      </c>
    </row>
    <row r="34" spans="1:17" s="119" customFormat="1" ht="17.100000000000001" customHeight="1" x14ac:dyDescent="0.2">
      <c r="A34" s="120" t="str">
        <f>CHOOSE(MODE_SS, "1", "-", "1")</f>
        <v>-</v>
      </c>
      <c r="B34" s="121" t="str">
        <f>CHOOSE(MODE_SS, "Css", "-")</f>
        <v>-</v>
      </c>
      <c r="C34" s="646" t="str">
        <f>CHOOSE(MODE_SS, 'Standard Value Calculator'!B4*1000000000&amp;"nF", "-", "100k")</f>
        <v>-</v>
      </c>
      <c r="D34" s="685" t="str">
        <f>CHOOSE(MODE_SS, "Capacitor, Ceramic, "&amp;'Standard Value Calculator'!B4*1000000000&amp;"nF"&amp;", 16V, X7R, 10%", "-")</f>
        <v>-</v>
      </c>
      <c r="E34" s="686"/>
      <c r="F34" s="686"/>
      <c r="G34" s="123" t="s">
        <v>119</v>
      </c>
      <c r="H34" s="124" t="str">
        <f>CHOOSE(MODE_SS, "Std", "-")</f>
        <v>-</v>
      </c>
      <c r="I34" s="488" t="str">
        <f>CHOOSE(MODE_SS, "Std", "-")</f>
        <v>-</v>
      </c>
      <c r="J34" s="496" t="str">
        <f>CHOOSE(MODE_SS,CHOOSE(Q34,'Variable Mgmt'!T56,'Variable Mgmt'!T57,'Variable Mgmt'!T58),"-",CHOOSE(Q34,'Variable Mgmt'!T56,'Variable Mgmt'!T57,'Variable Mgmt'!T58))</f>
        <v>-</v>
      </c>
      <c r="K34" s="494" t="str">
        <f>CHOOSE(MODE_SS, CHOOSE(Q34,'Variable Mgmt'!U56,'Variable Mgmt'!U57,'Variable Mgmt'!U58), "-", CHOOSE(Q34,'Variable Mgmt'!U56,'Variable Mgmt'!U57,'Variable Mgmt'!U58))</f>
        <v>-</v>
      </c>
      <c r="L34" s="499"/>
      <c r="Q34" s="506">
        <v>1</v>
      </c>
    </row>
    <row r="35" spans="1:17" s="119" customFormat="1" ht="17.100000000000001" customHeight="1" x14ac:dyDescent="0.2">
      <c r="A35" s="125">
        <v>1</v>
      </c>
      <c r="B35" s="126" t="s">
        <v>650</v>
      </c>
      <c r="C35" s="127" t="s">
        <v>194</v>
      </c>
      <c r="D35" s="676" t="str">
        <f>"Rectifying Diode, Schottky"</f>
        <v>Rectifying Diode, Schottky</v>
      </c>
      <c r="E35" s="677"/>
      <c r="F35" s="677"/>
      <c r="G35" s="128" t="e">
        <f>CHOOSE(SHORT_ILIM, "-", "0603")</f>
        <v>#NAME?</v>
      </c>
      <c r="H35" s="129" t="s">
        <v>118</v>
      </c>
      <c r="I35" s="489" t="s">
        <v>118</v>
      </c>
      <c r="J35" s="639" t="str">
        <f>CHOOSE(Q35,'Variable Mgmt'!Y65,'Variable Mgmt'!Y66,'Variable Mgmt'!Y67,'Variable Mgmt'!Y68)</f>
        <v>3.6 x 1.8</v>
      </c>
      <c r="K35" s="640">
        <f>CHOOSE(Q35,'Variable Mgmt'!Z65,'Variable Mgmt'!Z66,'Variable Mgmt'!Z67,'Variable Mgmt'!Z68)</f>
        <v>6.5</v>
      </c>
      <c r="L35" s="499"/>
      <c r="Q35" s="506">
        <v>3</v>
      </c>
    </row>
    <row r="36" spans="1:17" s="119" customFormat="1" ht="17.100000000000001" customHeight="1" x14ac:dyDescent="0.2">
      <c r="A36" s="125" t="str">
        <f>CHOOSE(MODE, "-", "1")</f>
        <v>-</v>
      </c>
      <c r="B36" s="126" t="s">
        <v>649</v>
      </c>
      <c r="C36" s="127" t="str">
        <f>CHOOSE(MODE, "-", "Diode")</f>
        <v>-</v>
      </c>
      <c r="D36" s="674" t="str">
        <f>CHOOSE(MODE, "-", "Rectifying Diode, Schottky")</f>
        <v>-</v>
      </c>
      <c r="E36" s="675"/>
      <c r="F36" s="675"/>
      <c r="G36" s="128" t="s">
        <v>119</v>
      </c>
      <c r="H36" s="129" t="str">
        <f>CHOOSE(MODE, "-", "Std")</f>
        <v>-</v>
      </c>
      <c r="I36" s="489" t="str">
        <f>CHOOSE(MODE, "-", "Std")</f>
        <v>-</v>
      </c>
      <c r="J36" s="639" t="str">
        <f>CHOOSE(MODE, "-", CHOOSE(Q36,'Variable Mgmt'!Y65,'Variable Mgmt'!Y66,'Variable Mgmt'!Y67,'Variable Mgmt'!Y68))</f>
        <v>-</v>
      </c>
      <c r="K36" s="640" t="str">
        <f>CHOOSE(MODE, "-", CHOOSE(Q36,'Variable Mgmt'!Z65,'Variable Mgmt'!Z66,'Variable Mgmt'!Z67,'Variable Mgmt'!Z68))</f>
        <v>-</v>
      </c>
      <c r="L36" s="499"/>
      <c r="Q36" s="506">
        <v>3</v>
      </c>
    </row>
    <row r="37" spans="1:17" s="119" customFormat="1" ht="17.100000000000001" customHeight="1" x14ac:dyDescent="0.2">
      <c r="A37" s="125">
        <v>1</v>
      </c>
      <c r="B37" s="126" t="s">
        <v>651</v>
      </c>
      <c r="C37" s="127" t="str">
        <f>"Diode"</f>
        <v>Diode</v>
      </c>
      <c r="D37" s="644" t="str">
        <f>"Clamp Circuit Diode, Fast Recovery"</f>
        <v>Clamp Circuit Diode, Fast Recovery</v>
      </c>
      <c r="E37" s="645"/>
      <c r="F37" s="645"/>
      <c r="G37" s="128"/>
      <c r="H37" s="129" t="s">
        <v>118</v>
      </c>
      <c r="I37" s="489" t="s">
        <v>118</v>
      </c>
      <c r="J37" s="639" t="str">
        <f>CHOOSE(Q37,'Variable Mgmt'!Y65,'Variable Mgmt'!Y66,'Variable Mgmt'!Y67,'Variable Mgmt'!Y68)</f>
        <v>2.5 x 1.25</v>
      </c>
      <c r="K37" s="640">
        <f>CHOOSE(Q37,'Variable Mgmt'!Z65,'Variable Mgmt'!Z66,'Variable Mgmt'!Z67,'Variable Mgmt'!Z68)</f>
        <v>3.2</v>
      </c>
      <c r="L37" s="499"/>
      <c r="Q37" s="506">
        <v>2</v>
      </c>
    </row>
    <row r="38" spans="1:17" s="119" customFormat="1" ht="17.100000000000001" customHeight="1" x14ac:dyDescent="0.2">
      <c r="A38" s="125">
        <v>1</v>
      </c>
      <c r="B38" s="126" t="s">
        <v>646</v>
      </c>
      <c r="C38" s="127" t="s">
        <v>647</v>
      </c>
      <c r="D38" s="674" t="str">
        <f>"Clamp Circuit Diode, Zener, 24V"</f>
        <v>Clamp Circuit Diode, Zener, 24V</v>
      </c>
      <c r="E38" s="675"/>
      <c r="F38" s="675"/>
      <c r="G38" s="128" t="s">
        <v>119</v>
      </c>
      <c r="H38" s="129" t="s">
        <v>118</v>
      </c>
      <c r="I38" s="489" t="s">
        <v>118</v>
      </c>
      <c r="J38" s="639" t="str">
        <f>CHOOSE(Q38,'Variable Mgmt'!T56,'Variable Mgmt'!T57,'Variable Mgmt'!T58)</f>
        <v>2.0 x 1.25</v>
      </c>
      <c r="K38" s="640">
        <f>CHOOSE(Q38,'Variable Mgmt'!Z65,'Variable Mgmt'!Z66,'Variable Mgmt'!Z67,'Variable Mgmt'!Z68)</f>
        <v>6.5</v>
      </c>
      <c r="L38" s="499"/>
      <c r="Q38" s="506">
        <v>3</v>
      </c>
    </row>
    <row r="39" spans="1:17" s="119" customFormat="1" ht="17.100000000000001" customHeight="1" x14ac:dyDescent="0.2">
      <c r="A39" s="125">
        <v>1</v>
      </c>
      <c r="B39" s="126" t="s">
        <v>661</v>
      </c>
      <c r="C39" s="127" t="str">
        <f>Vout*1.1&amp;"V"</f>
        <v>5.5V</v>
      </c>
      <c r="D39" s="644" t="str">
        <f>"Output Clamp Diode, Zener, "&amp;ROUND(Vout*1.125,0)&amp;"V"</f>
        <v>Output Clamp Diode, Zener, 6V</v>
      </c>
      <c r="E39" s="645"/>
      <c r="F39" s="645"/>
      <c r="G39" s="128"/>
      <c r="H39" s="129" t="s">
        <v>118</v>
      </c>
      <c r="I39" s="489" t="s">
        <v>118</v>
      </c>
      <c r="J39" s="639" t="str">
        <f>CHOOSE(Q39,'Variable Mgmt'!T56,'Variable Mgmt'!T57,'Variable Mgmt'!T58)</f>
        <v>1.0 x 0.5</v>
      </c>
      <c r="K39" s="640">
        <f>CHOOSE(Q39,'Variable Mgmt'!Z65,'Variable Mgmt'!Z66,'Variable Mgmt'!Z67,'Variable Mgmt'!Z68)</f>
        <v>1.3</v>
      </c>
      <c r="L39" s="499"/>
      <c r="Q39" s="506">
        <v>1</v>
      </c>
    </row>
    <row r="40" spans="1:17" s="119" customFormat="1" ht="17.100000000000001" customHeight="1" x14ac:dyDescent="0.2">
      <c r="A40" s="120">
        <v>1</v>
      </c>
      <c r="B40" s="121" t="s">
        <v>652</v>
      </c>
      <c r="C40" s="122">
        <v>12.1</v>
      </c>
      <c r="D40" s="672">
        <f t="shared" ref="D40" si="0">C40</f>
        <v>12.1</v>
      </c>
      <c r="E40" s="673"/>
      <c r="F40" s="673"/>
      <c r="G40" s="123" t="s">
        <v>119</v>
      </c>
      <c r="H40" s="124" t="s">
        <v>118</v>
      </c>
      <c r="I40" s="488" t="s">
        <v>118</v>
      </c>
      <c r="J40" s="496" t="str">
        <f>CHOOSE(Q40,'Variable Mgmt'!T56,'Variable Mgmt'!T57,'Variable Mgmt'!T58)</f>
        <v>1.0 x 0.5</v>
      </c>
      <c r="K40" s="494">
        <f>CHOOSE(Q40,'Variable Mgmt'!U56,'Variable Mgmt'!U57,'Variable Mgmt'!U58,'Variable Mgmt'!U59,'Variable Mgmt'!U60)</f>
        <v>0.5</v>
      </c>
      <c r="L40" s="499"/>
      <c r="Q40" s="506">
        <v>1</v>
      </c>
    </row>
    <row r="41" spans="1:17" s="119" customFormat="1" ht="17.100000000000001" customHeight="1" x14ac:dyDescent="0.2">
      <c r="A41" s="120">
        <v>1</v>
      </c>
      <c r="B41" s="121" t="s">
        <v>544</v>
      </c>
      <c r="C41" s="122">
        <f>Rfb/1000</f>
        <v>158</v>
      </c>
      <c r="D41" s="672">
        <f>C41</f>
        <v>158</v>
      </c>
      <c r="E41" s="673"/>
      <c r="F41" s="673"/>
      <c r="G41" s="123" t="s">
        <v>119</v>
      </c>
      <c r="H41" s="124" t="s">
        <v>118</v>
      </c>
      <c r="I41" s="488" t="s">
        <v>118</v>
      </c>
      <c r="J41" s="496" t="str">
        <f>CHOOSE(Q41,'Variable Mgmt'!T56,'Variable Mgmt'!T57,'Variable Mgmt'!T58)</f>
        <v>1.0 x 0.5</v>
      </c>
      <c r="K41" s="494">
        <f>CHOOSE(Q41,'Variable Mgmt'!U56,'Variable Mgmt'!U57,'Variable Mgmt'!U58,'Variable Mgmt'!U59,'Variable Mgmt'!U60)</f>
        <v>0.5</v>
      </c>
      <c r="L41" s="499"/>
      <c r="Q41" s="506">
        <v>1</v>
      </c>
    </row>
    <row r="42" spans="1:17" s="119" customFormat="1" ht="17.100000000000001" customHeight="1" x14ac:dyDescent="0.2">
      <c r="A42" s="120" t="str">
        <f>CHOOSE(MODE_UVLO, "1", "-")</f>
        <v>1</v>
      </c>
      <c r="B42" s="121" t="s">
        <v>126</v>
      </c>
      <c r="C42" s="467" t="str">
        <f>CHOOSE(MODE_UVLO, 'Variable Mgmt'!H237, "-")</f>
        <v>127k</v>
      </c>
      <c r="D42" s="681" t="str">
        <f>CHOOSE(MODE_UVLO, "Resistor, Chip, "&amp;'Variable Mgmt'!C237&amp;", 1/16W, 1%", "-")</f>
        <v>Resistor, Chip, 127kΩ, 1/16W, 1%</v>
      </c>
      <c r="E42" s="682"/>
      <c r="F42" s="682"/>
      <c r="G42" s="123" t="s">
        <v>119</v>
      </c>
      <c r="H42" s="124" t="str">
        <f t="shared" ref="H42:I43" si="1">CHOOSE(MODE_UVLO, "Std", "-")</f>
        <v>Std</v>
      </c>
      <c r="I42" s="488" t="str">
        <f t="shared" si="1"/>
        <v>Std</v>
      </c>
      <c r="J42" s="496" t="str">
        <f>CHOOSE(MODE_UVLO, CHOOSE(Q42,'Variable Mgmt'!T56,'Variable Mgmt'!T57,'Variable Mgmt'!T58), "-")</f>
        <v>1.0 x 0.5</v>
      </c>
      <c r="K42" s="494">
        <f>CHOOSE(MODE_UVLO, CHOOSE(Q42,'Variable Mgmt'!U56,'Variable Mgmt'!U57,'Variable Mgmt'!U58,'Variable Mgmt'!U59,'Variable Mgmt'!U60),"-")</f>
        <v>0.5</v>
      </c>
      <c r="L42" s="499"/>
      <c r="Q42" s="506">
        <v>1</v>
      </c>
    </row>
    <row r="43" spans="1:17" s="119" customFormat="1" ht="17.100000000000001" customHeight="1" x14ac:dyDescent="0.2">
      <c r="A43" s="120" t="str">
        <f>CHOOSE(MODE_UVLO, "1", "-")</f>
        <v>1</v>
      </c>
      <c r="B43" s="121" t="s">
        <v>127</v>
      </c>
      <c r="C43" s="467" t="str">
        <f>CHOOSE(MODE_UVLO, 'Variable Mgmt'!H238, "-")</f>
        <v>20k</v>
      </c>
      <c r="D43" s="681" t="str">
        <f>CHOOSE(MODE_UVLO, "Resistor, Chip, "&amp;'Variable Mgmt'!C238&amp;", 1/16W, 1%", "-")</f>
        <v>Resistor, Chip, 20kΩ, 1/16W, 1%</v>
      </c>
      <c r="E43" s="682"/>
      <c r="F43" s="682"/>
      <c r="G43" s="123" t="s">
        <v>119</v>
      </c>
      <c r="H43" s="124" t="str">
        <f t="shared" si="1"/>
        <v>Std</v>
      </c>
      <c r="I43" s="488" t="str">
        <f t="shared" si="1"/>
        <v>Std</v>
      </c>
      <c r="J43" s="496" t="str">
        <f>CHOOSE(MODE_UVLO, CHOOSE(Q43,'Variable Mgmt'!T56,'Variable Mgmt'!T57,'Variable Mgmt'!T58), "-")</f>
        <v>1.0 x 0.5</v>
      </c>
      <c r="K43" s="494">
        <f>CHOOSE(MODE_UVLO, CHOOSE(Q43,'Variable Mgmt'!U56,'Variable Mgmt'!U57,'Variable Mgmt'!U58,'Variable Mgmt'!U59,'Variable Mgmt'!U60),"-")</f>
        <v>0.5</v>
      </c>
      <c r="L43" s="499"/>
      <c r="Q43" s="506">
        <v>1</v>
      </c>
    </row>
    <row r="44" spans="1:17" s="119" customFormat="1" ht="17.100000000000001" customHeight="1" x14ac:dyDescent="0.2">
      <c r="A44" s="120" t="str">
        <f>CHOOSE(MODE_TC, "1", "-")</f>
        <v>1</v>
      </c>
      <c r="B44" s="121" t="s">
        <v>533</v>
      </c>
      <c r="C44" s="122">
        <f>CHOOSE(MODE_TC, RTC, "-")</f>
        <v>158</v>
      </c>
      <c r="D44" s="672" t="str">
        <f>CHOOSE(MODE_TC, "Resistor, Chip, "&amp;'Variable Mgmt'!B233&amp;", 1/16W, 1%", "-")</f>
        <v>Resistor, Chip, 158kΩ, 1/16W, 1%</v>
      </c>
      <c r="E44" s="673"/>
      <c r="F44" s="673"/>
      <c r="G44" s="123" t="s">
        <v>119</v>
      </c>
      <c r="H44" s="124" t="str">
        <f>CHOOSE(MODE_TC, "Std", "-")</f>
        <v>Std</v>
      </c>
      <c r="I44" s="488" t="str">
        <f>CHOOSE(MODE_TC, "Std", "-")</f>
        <v>Std</v>
      </c>
      <c r="J44" s="496" t="str">
        <f>CHOOSE(MODE_TC, CHOOSE(Q44,'Variable Mgmt'!T56,'Variable Mgmt'!T377,'Variable Mgmt'!T58), "-")</f>
        <v>1.0 x 0.5</v>
      </c>
      <c r="K44" s="494">
        <f>CHOOSE(MODE_TC, CHOOSE(Q44,'Variable Mgmt'!U56,'Variable Mgmt'!U57,'Variable Mgmt'!U58,'Variable Mgmt'!U59,'Variable Mgmt'!U60),"-")</f>
        <v>0.5</v>
      </c>
      <c r="L44" s="499"/>
      <c r="Q44" s="506">
        <v>1</v>
      </c>
    </row>
    <row r="45" spans="1:17" s="642" customFormat="1" ht="16.5" customHeight="1" x14ac:dyDescent="0.2">
      <c r="A45" s="125">
        <v>1</v>
      </c>
      <c r="B45" s="126" t="s">
        <v>543</v>
      </c>
      <c r="C45" s="638">
        <f>'Design Converter'!L7</f>
        <v>30</v>
      </c>
      <c r="D45" s="678" t="str">
        <f>"Transformer, "&amp;L*1000000&amp;"µH, "&amp;'Variable Mgmt'!W44&amp;", "&amp;Rdcr_pri*1000&amp;"mΩ Pri DCR, "&amp;"2A Sat"</f>
        <v>Transformer, 30µH, 3 : 1, 200mΩ Pri DCR, 2A Sat</v>
      </c>
      <c r="E45" s="679"/>
      <c r="F45" s="680"/>
      <c r="G45" s="129" t="s">
        <v>125</v>
      </c>
      <c r="H45" s="129" t="s">
        <v>124</v>
      </c>
      <c r="I45" s="489" t="s">
        <v>124</v>
      </c>
      <c r="J45" s="639" t="str">
        <f>CHOOSE(Q45,'Variable Mgmt'!T65,'Variable Mgmt'!T66,'Variable Mgmt'!T67,'Variable Mgmt'!T68,'Variable Mgmt'!T69,'Variable Mgmt'!T70,'Variable Mgmt'!T71)</f>
        <v>10 x 10</v>
      </c>
      <c r="K45" s="647">
        <f>CHOOSE(Q45,'Variable Mgmt'!U65,'Variable Mgmt'!U66,'Variable Mgmt'!U67,'Variable Mgmt'!U68,'Variable Mgmt'!U69,'Variable Mgmt'!U70,'Variable Mgmt'!U71)</f>
        <v>100</v>
      </c>
      <c r="L45" s="641"/>
      <c r="Q45" s="643">
        <v>5</v>
      </c>
    </row>
    <row r="46" spans="1:17" ht="17.100000000000001" customHeight="1" x14ac:dyDescent="0.2">
      <c r="A46" s="471">
        <v>1</v>
      </c>
      <c r="B46" s="477" t="s">
        <v>128</v>
      </c>
      <c r="C46" s="498" t="s">
        <v>540</v>
      </c>
      <c r="D46" s="478" t="s">
        <v>709</v>
      </c>
      <c r="E46" s="479"/>
      <c r="F46" s="480"/>
      <c r="G46" s="476" t="s">
        <v>541</v>
      </c>
      <c r="H46" s="476" t="s">
        <v>540</v>
      </c>
      <c r="I46" s="478" t="s">
        <v>360</v>
      </c>
      <c r="J46" s="497" t="s">
        <v>358</v>
      </c>
      <c r="K46" s="495">
        <v>16</v>
      </c>
      <c r="L46" s="475"/>
      <c r="M46" s="475"/>
      <c r="N46" s="119"/>
      <c r="Q46" s="509"/>
    </row>
    <row r="47" spans="1:17" ht="17.100000000000001" customHeight="1" x14ac:dyDescent="0.2">
      <c r="J47" s="119"/>
      <c r="K47" s="485"/>
      <c r="L47" s="475"/>
      <c r="M47" s="475"/>
      <c r="N47" s="119"/>
    </row>
    <row r="48" spans="1:17" ht="17.25" customHeight="1" x14ac:dyDescent="0.25">
      <c r="H48" s="1" t="s">
        <v>362</v>
      </c>
      <c r="I48" s="1"/>
      <c r="J48" s="1"/>
      <c r="K48" s="503">
        <f>SUM(K31:K46)*1.25</f>
        <v>190</v>
      </c>
      <c r="L48" s="510" t="s">
        <v>364</v>
      </c>
      <c r="M48" s="504">
        <f>K48/25.4/25.4</f>
        <v>0.29450058900117804</v>
      </c>
      <c r="N48" s="510" t="s">
        <v>361</v>
      </c>
    </row>
    <row r="49" spans="1:14" ht="17.100000000000001" customHeight="1" x14ac:dyDescent="0.25">
      <c r="J49" s="490"/>
      <c r="K49" s="491"/>
      <c r="L49" s="492"/>
      <c r="M49" s="493"/>
      <c r="N49" s="492"/>
    </row>
    <row r="50" spans="1:14" ht="20.25" customHeight="1" x14ac:dyDescent="0.2">
      <c r="A50" s="484" t="s">
        <v>137</v>
      </c>
    </row>
    <row r="51" spans="1:14" x14ac:dyDescent="0.2">
      <c r="A51" s="116" t="s">
        <v>708</v>
      </c>
    </row>
    <row r="52" spans="1:14" x14ac:dyDescent="0.2">
      <c r="A52" s="116" t="s">
        <v>363</v>
      </c>
      <c r="K52" s="483"/>
    </row>
    <row r="53" spans="1:14" x14ac:dyDescent="0.2">
      <c r="A53" s="116" t="s">
        <v>653</v>
      </c>
    </row>
    <row r="54" spans="1:14" x14ac:dyDescent="0.2">
      <c r="A54" s="116" t="s">
        <v>654</v>
      </c>
    </row>
    <row r="55" spans="1:14" x14ac:dyDescent="0.2">
      <c r="A55" s="116" t="s">
        <v>668</v>
      </c>
    </row>
  </sheetData>
  <sheetProtection password="CCC8" sheet="1" objects="1" scenarios="1" selectLockedCells="1" selectUnlockedCells="1"/>
  <mergeCells count="14">
    <mergeCell ref="H48:J48"/>
    <mergeCell ref="D31:F31"/>
    <mergeCell ref="D30:F30"/>
    <mergeCell ref="D40:F40"/>
    <mergeCell ref="D41:F41"/>
    <mergeCell ref="D38:F38"/>
    <mergeCell ref="D36:F36"/>
    <mergeCell ref="D35:F35"/>
    <mergeCell ref="D45:F45"/>
    <mergeCell ref="D42:F42"/>
    <mergeCell ref="D43:F43"/>
    <mergeCell ref="D44:F44"/>
    <mergeCell ref="D32:F32"/>
    <mergeCell ref="D34:F34"/>
  </mergeCells>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34 G36 G38 G42:G43 G40" numberStoredAsText="1"/>
    <ignoredError sqref="J36:K3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9525</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9525</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35</xdr:row>
                    <xdr:rowOff>9525</xdr:rowOff>
                  </from>
                  <to>
                    <xdr:col>6</xdr:col>
                    <xdr:colOff>876300</xdr:colOff>
                    <xdr:row>36</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40</xdr:row>
                    <xdr:rowOff>9525</xdr:rowOff>
                  </from>
                  <to>
                    <xdr:col>6</xdr:col>
                    <xdr:colOff>876300</xdr:colOff>
                    <xdr:row>41</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37</xdr:row>
                    <xdr:rowOff>9525</xdr:rowOff>
                  </from>
                  <to>
                    <xdr:col>6</xdr:col>
                    <xdr:colOff>876300</xdr:colOff>
                    <xdr:row>38</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36</xdr:row>
                    <xdr:rowOff>9525</xdr:rowOff>
                  </from>
                  <to>
                    <xdr:col>6</xdr:col>
                    <xdr:colOff>876300</xdr:colOff>
                    <xdr:row>37</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39</xdr:row>
                    <xdr:rowOff>9525</xdr:rowOff>
                  </from>
                  <to>
                    <xdr:col>6</xdr:col>
                    <xdr:colOff>876300</xdr:colOff>
                    <xdr:row>40</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41</xdr:row>
                    <xdr:rowOff>9525</xdr:rowOff>
                  </from>
                  <to>
                    <xdr:col>6</xdr:col>
                    <xdr:colOff>876300</xdr:colOff>
                    <xdr:row>42</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42</xdr:row>
                    <xdr:rowOff>9525</xdr:rowOff>
                  </from>
                  <to>
                    <xdr:col>6</xdr:col>
                    <xdr:colOff>876300</xdr:colOff>
                    <xdr:row>43</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43</xdr:row>
                    <xdr:rowOff>9525</xdr:rowOff>
                  </from>
                  <to>
                    <xdr:col>6</xdr:col>
                    <xdr:colOff>876300</xdr:colOff>
                    <xdr:row>44</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34</xdr:row>
                    <xdr:rowOff>9525</xdr:rowOff>
                  </from>
                  <to>
                    <xdr:col>6</xdr:col>
                    <xdr:colOff>876300</xdr:colOff>
                    <xdr:row>35</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44</xdr:row>
                    <xdr:rowOff>9525</xdr:rowOff>
                  </from>
                  <to>
                    <xdr:col>6</xdr:col>
                    <xdr:colOff>876300</xdr:colOff>
                    <xdr:row>45</xdr:row>
                    <xdr:rowOff>0</xdr:rowOff>
                  </to>
                </anchor>
              </controlPr>
            </control>
          </mc:Choice>
        </mc:AlternateContent>
        <mc:AlternateContent xmlns:mc="http://schemas.openxmlformats.org/markup-compatibility/2006">
          <mc:Choice Requires="x14">
            <control shapeId="674633" r:id="rId16" name="Drop Down 841">
              <controlPr defaultSize="0" autoLine="0" autoPict="0">
                <anchor moveWithCells="1">
                  <from>
                    <xdr:col>6</xdr:col>
                    <xdr:colOff>0</xdr:colOff>
                    <xdr:row>33</xdr:row>
                    <xdr:rowOff>9525</xdr:rowOff>
                  </from>
                  <to>
                    <xdr:col>6</xdr:col>
                    <xdr:colOff>876300</xdr:colOff>
                    <xdr:row>34</xdr:row>
                    <xdr:rowOff>0</xdr:rowOff>
                  </to>
                </anchor>
              </controlPr>
            </control>
          </mc:Choice>
        </mc:AlternateContent>
        <mc:AlternateContent xmlns:mc="http://schemas.openxmlformats.org/markup-compatibility/2006">
          <mc:Choice Requires="x14">
            <control shapeId="706019" r:id="rId17" name="Drop Down 1507">
              <controlPr defaultSize="0" autoLine="0" autoPict="0">
                <anchor moveWithCells="1">
                  <from>
                    <xdr:col>5</xdr:col>
                    <xdr:colOff>895350</xdr:colOff>
                    <xdr:row>32</xdr:row>
                    <xdr:rowOff>9525</xdr:rowOff>
                  </from>
                  <to>
                    <xdr:col>6</xdr:col>
                    <xdr:colOff>866775</xdr:colOff>
                    <xdr:row>33</xdr:row>
                    <xdr:rowOff>0</xdr:rowOff>
                  </to>
                </anchor>
              </controlPr>
            </control>
          </mc:Choice>
        </mc:AlternateContent>
        <mc:AlternateContent xmlns:mc="http://schemas.openxmlformats.org/markup-compatibility/2006">
          <mc:Choice Requires="x14">
            <control shapeId="706028" r:id="rId18" name="Drop Down 1516">
              <controlPr defaultSize="0" autoLine="0" autoPict="0">
                <anchor moveWithCells="1">
                  <from>
                    <xdr:col>6</xdr:col>
                    <xdr:colOff>0</xdr:colOff>
                    <xdr:row>38</xdr:row>
                    <xdr:rowOff>9525</xdr:rowOff>
                  </from>
                  <to>
                    <xdr:col>6</xdr:col>
                    <xdr:colOff>876300</xdr:colOff>
                    <xdr:row>39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Mgmt'!$B$52=TRUE</xm:f>
            <x14:dxf>
              <font>
                <color theme="0"/>
              </font>
            </x14:dxf>
          </x14:cfRule>
          <xm:sqref>B36</xm:sqref>
        </x14:conditionalFormatting>
        <x14:conditionalFormatting xmlns:xm="http://schemas.microsoft.com/office/excel/2006/main">
          <x14:cfRule type="expression" priority="1" id="{8521D621-BE3D-4AAE-900E-18DA0D0FAC8E}">
            <xm:f>'Variable Mgmt'!$B$52=TRUE</xm:f>
            <x14:dxf>
              <font>
                <color rgb="FFFFFF99"/>
              </font>
            </x14:dxf>
          </x14:cfRule>
          <xm:sqref>B33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pageSetUpPr fitToPage="1"/>
  </sheetPr>
  <dimension ref="A1:R6"/>
  <sheetViews>
    <sheetView zoomScaleNormal="100" workbookViewId="0">
      <selection activeCell="A3" sqref="A3"/>
    </sheetView>
  </sheetViews>
  <sheetFormatPr defaultColWidth="9.140625" defaultRowHeight="12.75" x14ac:dyDescent="0.2"/>
  <cols>
    <col min="1" max="13" width="9.140625" style="86"/>
    <col min="14" max="14" width="11.85546875" style="86" customWidth="1"/>
    <col min="15" max="16" width="9.140625" style="86"/>
    <col min="17" max="17" width="15.7109375" style="86" customWidth="1"/>
    <col min="18" max="16384" width="9.140625" style="86"/>
  </cols>
  <sheetData>
    <row r="1" spans="1:18" s="77" customFormat="1" ht="47.25" customHeight="1" x14ac:dyDescent="0.2">
      <c r="A1" s="687" t="s">
        <v>695</v>
      </c>
      <c r="B1" s="688"/>
      <c r="C1" s="688"/>
      <c r="D1" s="688"/>
      <c r="E1" s="688"/>
      <c r="F1" s="688"/>
      <c r="G1" s="688"/>
      <c r="H1" s="688"/>
      <c r="I1" s="688"/>
      <c r="J1" s="688"/>
      <c r="K1" s="688"/>
      <c r="L1" s="688"/>
      <c r="M1" s="688"/>
      <c r="N1" s="688"/>
      <c r="O1" s="688"/>
      <c r="P1" s="688"/>
      <c r="Q1" s="688"/>
      <c r="R1" s="84"/>
    </row>
    <row r="6" spans="1:18" ht="20.25" x14ac:dyDescent="0.3">
      <c r="B6" s="87" t="s">
        <v>698</v>
      </c>
      <c r="N6" s="87" t="s">
        <v>694</v>
      </c>
    </row>
  </sheetData>
  <sheetProtection password="CCC8" sheet="1" objects="1" scenarios="1"/>
  <mergeCells count="1">
    <mergeCell ref="A1:Q1"/>
  </mergeCells>
  <pageMargins left="0.19" right="0.2" top="0.75" bottom="0.75" header="0.3" footer="0.3"/>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00FF"/>
  </sheetPr>
  <dimension ref="A1:Z275"/>
  <sheetViews>
    <sheetView workbookViewId="0">
      <pane ySplit="5" topLeftCell="A12" activePane="bottomLeft" state="frozenSplit"/>
      <selection pane="bottomLeft" activeCell="B38" sqref="B38"/>
    </sheetView>
  </sheetViews>
  <sheetFormatPr defaultRowHeight="12.75" x14ac:dyDescent="0.2"/>
  <cols>
    <col min="1" max="1" width="40.42578125" customWidth="1"/>
    <col min="2" max="2" width="11.85546875" customWidth="1"/>
    <col min="3" max="3" width="9.42578125" style="4" customWidth="1"/>
    <col min="4" max="4" width="10.28515625" customWidth="1"/>
    <col min="5" max="5" width="11.5703125" customWidth="1"/>
    <col min="6" max="6" width="14.85546875" customWidth="1"/>
    <col min="7" max="7" width="12.42578125" bestFit="1" customWidth="1"/>
    <col min="8" max="8" width="20.140625" customWidth="1"/>
    <col min="9" max="9" width="14.42578125" customWidth="1"/>
    <col min="10" max="10" width="12.42578125" bestFit="1" customWidth="1"/>
    <col min="11" max="11" width="12" customWidth="1"/>
    <col min="12" max="12" width="8.85546875" customWidth="1"/>
    <col min="13" max="13" width="7" customWidth="1"/>
    <col min="14" max="14" width="9.28515625" customWidth="1"/>
    <col min="16" max="16" width="7.140625" customWidth="1"/>
    <col min="17" max="17" width="11" customWidth="1"/>
    <col min="18" max="18" width="13.85546875" customWidth="1"/>
    <col min="19" max="19" width="5.42578125" customWidth="1"/>
    <col min="20" max="20" width="16.28515625" customWidth="1"/>
    <col min="22" max="22" width="9.7109375" customWidth="1"/>
    <col min="23" max="23" width="11.28515625" customWidth="1"/>
    <col min="24" max="24" width="5.85546875" customWidth="1"/>
    <col min="26" max="26" width="7.85546875" customWidth="1"/>
  </cols>
  <sheetData>
    <row r="1" spans="1:12" ht="30.75" customHeight="1" x14ac:dyDescent="0.4">
      <c r="A1" s="690" t="s">
        <v>172</v>
      </c>
      <c r="B1" s="690"/>
      <c r="C1" s="690"/>
      <c r="D1" s="690"/>
      <c r="E1" s="690"/>
      <c r="F1" s="690"/>
      <c r="G1" s="690"/>
      <c r="H1" s="690"/>
      <c r="I1" s="690"/>
    </row>
    <row r="2" spans="1:12" ht="12" customHeight="1" x14ac:dyDescent="0.2">
      <c r="A2" s="20"/>
      <c r="B2" s="20" t="s">
        <v>81</v>
      </c>
      <c r="C2" s="21"/>
      <c r="E2" s="20"/>
      <c r="F2" s="20"/>
      <c r="G2" s="20"/>
      <c r="H2" s="20"/>
      <c r="I2" s="20"/>
    </row>
    <row r="3" spans="1:12" ht="11.25" customHeight="1" x14ac:dyDescent="0.2">
      <c r="A3" s="20"/>
      <c r="B3" s="20" t="s">
        <v>100</v>
      </c>
      <c r="C3" s="22"/>
      <c r="E3" s="20"/>
      <c r="F3" s="20"/>
      <c r="G3" s="20"/>
      <c r="H3" s="20"/>
      <c r="I3" s="20"/>
    </row>
    <row r="4" spans="1:12" ht="11.25" customHeight="1" x14ac:dyDescent="0.2">
      <c r="A4" s="20"/>
      <c r="B4" s="20" t="s">
        <v>82</v>
      </c>
      <c r="C4" s="23"/>
      <c r="E4" s="20"/>
      <c r="F4" s="20"/>
      <c r="G4" s="20"/>
      <c r="H4" s="20"/>
      <c r="I4" s="20"/>
    </row>
    <row r="5" spans="1:12" x14ac:dyDescent="0.2">
      <c r="A5" s="4" t="s">
        <v>19</v>
      </c>
      <c r="B5" s="4" t="s">
        <v>6</v>
      </c>
      <c r="C5" s="4" t="s">
        <v>7</v>
      </c>
      <c r="E5" s="689" t="s">
        <v>9</v>
      </c>
      <c r="F5" s="689"/>
      <c r="G5" s="689"/>
      <c r="H5" s="689"/>
      <c r="I5" s="4" t="s">
        <v>174</v>
      </c>
    </row>
    <row r="6" spans="1:12" ht="16.5" thickBot="1" x14ac:dyDescent="0.3">
      <c r="A6" s="52" t="s">
        <v>61</v>
      </c>
      <c r="B6" s="41"/>
      <c r="C6" s="41"/>
      <c r="D6" s="41"/>
      <c r="E6" s="53"/>
      <c r="F6" s="53"/>
      <c r="G6" s="53"/>
      <c r="H6" s="53"/>
      <c r="I6" s="41"/>
    </row>
    <row r="7" spans="1:12" x14ac:dyDescent="0.2">
      <c r="A7" s="111" t="s">
        <v>145</v>
      </c>
      <c r="B7" s="10">
        <f>'Design Converter'!E6</f>
        <v>12</v>
      </c>
      <c r="C7" s="32" t="s">
        <v>0</v>
      </c>
      <c r="D7" s="81" t="s">
        <v>146</v>
      </c>
      <c r="E7" s="32"/>
      <c r="F7" s="32"/>
      <c r="G7" s="32"/>
      <c r="H7" s="32"/>
      <c r="I7" s="33">
        <v>1</v>
      </c>
    </row>
    <row r="8" spans="1:12" x14ac:dyDescent="0.2">
      <c r="A8" s="112" t="s">
        <v>143</v>
      </c>
      <c r="B8" s="11">
        <f>'Design Converter'!E7</f>
        <v>24</v>
      </c>
      <c r="C8" s="8" t="s">
        <v>0</v>
      </c>
      <c r="D8" s="8" t="s">
        <v>10</v>
      </c>
      <c r="F8" s="8"/>
      <c r="G8" s="8"/>
      <c r="H8" s="8"/>
      <c r="I8" s="26"/>
    </row>
    <row r="9" spans="1:12" x14ac:dyDescent="0.2">
      <c r="A9" s="112" t="s">
        <v>144</v>
      </c>
      <c r="B9" s="11">
        <f>'Design Converter'!E8</f>
        <v>48</v>
      </c>
      <c r="C9" s="8" t="s">
        <v>0</v>
      </c>
      <c r="D9" s="79" t="s">
        <v>147</v>
      </c>
      <c r="F9" s="8"/>
      <c r="G9" s="8"/>
      <c r="H9" s="8"/>
      <c r="I9" s="26"/>
    </row>
    <row r="10" spans="1:12" x14ac:dyDescent="0.2">
      <c r="A10" s="112"/>
      <c r="B10" s="211"/>
      <c r="C10" s="62"/>
      <c r="D10" s="79"/>
      <c r="F10" s="8"/>
      <c r="G10" s="8"/>
      <c r="H10" s="8"/>
      <c r="I10" s="26"/>
    </row>
    <row r="11" spans="1:12" x14ac:dyDescent="0.2">
      <c r="A11" s="25" t="s">
        <v>4</v>
      </c>
      <c r="B11" s="11">
        <f>'Design Converter'!E10</f>
        <v>5</v>
      </c>
      <c r="C11" s="8" t="s">
        <v>0</v>
      </c>
      <c r="D11" s="79" t="s">
        <v>585</v>
      </c>
      <c r="F11" s="8"/>
      <c r="G11" s="8">
        <f>(Vout+Vfwd1)*Nps</f>
        <v>15.899999999999999</v>
      </c>
      <c r="H11" s="8"/>
      <c r="I11" s="26">
        <v>1</v>
      </c>
      <c r="K11" t="str">
        <f>'Variable Mgmt'!B51&amp;" Output PSR Flyback Converter, "&amp;"VIN = "&amp;Vin&amp;" V, VOUT = "&amp;Vout&amp;" V, IOUT = "&amp;Iout&amp;" A"</f>
        <v>SINGLE Output PSR Flyback Converter, VIN = 24 V, VOUT = 5 V, IOUT = 1 A</v>
      </c>
    </row>
    <row r="12" spans="1:12" x14ac:dyDescent="0.2">
      <c r="A12" s="25" t="s">
        <v>5</v>
      </c>
      <c r="B12" s="593">
        <f>'Design Converter'!E11</f>
        <v>1</v>
      </c>
      <c r="C12" s="79" t="s">
        <v>1</v>
      </c>
      <c r="D12" s="79" t="s">
        <v>677</v>
      </c>
      <c r="F12" s="8"/>
      <c r="G12" s="8"/>
      <c r="H12" s="8"/>
      <c r="I12" s="26">
        <v>1</v>
      </c>
      <c r="K12" t="str">
        <f>'Variable Mgmt'!B51&amp;" Output PSR Flyback Converter, "&amp;"VIN = "&amp;Vin&amp;" V, VOUT1 = "&amp;Vout&amp;" V, IOUT1 = "&amp;Iout&amp;" A"&amp;", VOUT2 = "&amp;Vout2_actual&amp;" V, IOUT2 = "&amp;Iout2_actual&amp;" A"</f>
        <v>SINGLE Output PSR Flyback Converter, VIN = 24 V, VOUT1 = 5 V, IOUT1 = 1 A, VOUT2 = 3.3 V, IOUT2 = 0.5 A</v>
      </c>
      <c r="L12" s="78"/>
    </row>
    <row r="13" spans="1:12" x14ac:dyDescent="0.2">
      <c r="A13" s="112" t="s">
        <v>169</v>
      </c>
      <c r="B13" s="159">
        <f>Vout/Iout</f>
        <v>5</v>
      </c>
      <c r="C13" s="115" t="s">
        <v>45</v>
      </c>
      <c r="D13" s="113" t="s">
        <v>170</v>
      </c>
      <c r="F13" s="8"/>
      <c r="G13" s="8"/>
      <c r="H13" s="8"/>
      <c r="I13" s="26"/>
    </row>
    <row r="14" spans="1:12" x14ac:dyDescent="0.2">
      <c r="A14" s="112" t="s">
        <v>153</v>
      </c>
      <c r="B14" s="592">
        <f>Vout*Iout</f>
        <v>5</v>
      </c>
      <c r="C14" s="62" t="s">
        <v>45</v>
      </c>
      <c r="D14" s="113" t="s">
        <v>159</v>
      </c>
      <c r="F14" s="8"/>
      <c r="G14" s="8"/>
      <c r="H14" s="8"/>
      <c r="I14" s="26"/>
      <c r="L14" s="78"/>
    </row>
    <row r="15" spans="1:12" x14ac:dyDescent="0.2">
      <c r="B15" s="378"/>
      <c r="C15" s="62"/>
      <c r="D15" s="113"/>
      <c r="F15" s="8"/>
      <c r="G15" s="8"/>
      <c r="H15" s="8"/>
      <c r="I15" s="26"/>
      <c r="L15" s="78"/>
    </row>
    <row r="16" spans="1:12" x14ac:dyDescent="0.2">
      <c r="A16" s="112" t="s">
        <v>631</v>
      </c>
      <c r="B16" s="594">
        <f>ABS('Design Converter'!E12)</f>
        <v>3.3</v>
      </c>
      <c r="C16" s="8" t="s">
        <v>0</v>
      </c>
      <c r="D16" s="79" t="s">
        <v>587</v>
      </c>
      <c r="F16" s="8"/>
      <c r="G16" s="8"/>
      <c r="H16" s="8"/>
      <c r="I16" s="26"/>
      <c r="L16" s="78"/>
    </row>
    <row r="17" spans="1:23" x14ac:dyDescent="0.2">
      <c r="A17" s="112" t="s">
        <v>632</v>
      </c>
      <c r="B17" s="636">
        <f>'Design Converter'!E12</f>
        <v>3.3</v>
      </c>
      <c r="C17" s="62" t="s">
        <v>0</v>
      </c>
      <c r="D17" s="79"/>
      <c r="F17" s="8"/>
      <c r="G17" s="8"/>
      <c r="H17" s="8"/>
      <c r="I17" s="26"/>
      <c r="L17" s="78"/>
    </row>
    <row r="18" spans="1:23" x14ac:dyDescent="0.2">
      <c r="A18" s="112" t="s">
        <v>514</v>
      </c>
      <c r="B18" s="594">
        <f>ABS('Design Converter'!E13)</f>
        <v>0.5</v>
      </c>
      <c r="C18" s="79" t="s">
        <v>1</v>
      </c>
      <c r="D18" s="79" t="s">
        <v>586</v>
      </c>
      <c r="F18" s="8"/>
      <c r="G18" s="8"/>
      <c r="H18" s="8"/>
      <c r="I18" s="26"/>
      <c r="L18" s="78"/>
    </row>
    <row r="19" spans="1:23" x14ac:dyDescent="0.2">
      <c r="A19" s="113" t="s">
        <v>676</v>
      </c>
      <c r="B19">
        <f>Iout2*SIGN(Vout2_actual)</f>
        <v>0.5</v>
      </c>
      <c r="C19" s="78" t="s">
        <v>1</v>
      </c>
      <c r="F19" s="8"/>
      <c r="G19" s="8"/>
      <c r="H19" s="8"/>
      <c r="I19" s="26"/>
      <c r="L19" s="78"/>
    </row>
    <row r="20" spans="1:23" x14ac:dyDescent="0.2">
      <c r="A20" s="112" t="s">
        <v>515</v>
      </c>
      <c r="B20" s="592">
        <f>ABS(Vout2/Iout2)</f>
        <v>6.6</v>
      </c>
      <c r="C20" s="115" t="s">
        <v>45</v>
      </c>
      <c r="D20" s="113" t="s">
        <v>517</v>
      </c>
      <c r="F20" s="8"/>
      <c r="G20" s="8"/>
      <c r="H20" s="8"/>
      <c r="I20" s="26"/>
      <c r="K20" s="78" t="s">
        <v>551</v>
      </c>
      <c r="L20" s="78" t="s">
        <v>552</v>
      </c>
    </row>
    <row r="21" spans="1:23" x14ac:dyDescent="0.2">
      <c r="A21" s="112" t="s">
        <v>516</v>
      </c>
      <c r="B21" s="592">
        <f>ABS(Vout2*Iout2)</f>
        <v>1.65</v>
      </c>
      <c r="C21" s="62" t="s">
        <v>45</v>
      </c>
      <c r="D21" s="113" t="s">
        <v>518</v>
      </c>
      <c r="F21" s="8"/>
      <c r="G21" s="8"/>
      <c r="H21" s="8"/>
      <c r="I21" s="26"/>
      <c r="K21">
        <v>5</v>
      </c>
      <c r="L21" s="78">
        <v>-5</v>
      </c>
    </row>
    <row r="22" spans="1:23" x14ac:dyDescent="0.2">
      <c r="A22" s="112" t="s">
        <v>519</v>
      </c>
      <c r="B22" s="592">
        <f>CHOOSE(MODE, Pout, Pout + Pout2)</f>
        <v>5</v>
      </c>
      <c r="C22" s="62" t="s">
        <v>45</v>
      </c>
      <c r="D22" s="113" t="s">
        <v>520</v>
      </c>
      <c r="F22" s="8"/>
      <c r="G22" s="8"/>
      <c r="H22" s="8"/>
      <c r="I22" s="26"/>
      <c r="K22">
        <v>0.2</v>
      </c>
      <c r="L22" s="78">
        <v>0.2</v>
      </c>
    </row>
    <row r="23" spans="1:23" x14ac:dyDescent="0.2">
      <c r="A23" s="112"/>
      <c r="B23" s="378"/>
      <c r="C23" s="62"/>
      <c r="D23" s="113"/>
      <c r="F23" s="8"/>
      <c r="G23" s="8"/>
      <c r="H23" s="8"/>
      <c r="I23" s="26"/>
      <c r="L23" s="78"/>
    </row>
    <row r="24" spans="1:23" x14ac:dyDescent="0.2">
      <c r="A24" s="35" t="str">
        <f>CHOOSE(MODE, "Turns Ratio, PRI : SEC", "Turns Ratio, PRI : SEC1")</f>
        <v>Turns Ratio, PRI : SEC</v>
      </c>
      <c r="B24" s="575" t="str">
        <f>Nps</f>
        <v>3</v>
      </c>
      <c r="C24" s="62"/>
      <c r="D24" s="113" t="str">
        <f>CHOOSE(MODE, "TR primary-secondary (single output) = Np/Ns", "TR primary-secondary1 (dual output) = Np/Nsec1")</f>
        <v>TR primary-secondary (single output) = Np/Ns</v>
      </c>
      <c r="F24" s="8"/>
      <c r="G24" s="8"/>
      <c r="H24" s="8"/>
      <c r="I24" s="26"/>
      <c r="L24" s="78"/>
    </row>
    <row r="25" spans="1:23" x14ac:dyDescent="0.2">
      <c r="A25" s="35" t="s">
        <v>599</v>
      </c>
      <c r="B25" s="179">
        <f>Npri_sec2</f>
        <v>4.416666666666667</v>
      </c>
      <c r="D25" s="113" t="s">
        <v>600</v>
      </c>
      <c r="F25" s="8"/>
      <c r="G25" s="8"/>
      <c r="H25" s="8"/>
      <c r="I25" s="26"/>
      <c r="L25" s="78"/>
    </row>
    <row r="26" spans="1:23" x14ac:dyDescent="0.2">
      <c r="A26" s="35" t="s">
        <v>612</v>
      </c>
      <c r="B26" s="635">
        <f>Nsec1sec2</f>
        <v>0.67924528301886788</v>
      </c>
      <c r="D26" s="78" t="s">
        <v>601</v>
      </c>
      <c r="F26" s="8"/>
      <c r="G26" s="8"/>
      <c r="H26" s="8"/>
      <c r="I26" s="26"/>
      <c r="L26" s="78"/>
      <c r="R26" s="163" t="s">
        <v>402</v>
      </c>
      <c r="V26" s="163" t="s">
        <v>402</v>
      </c>
    </row>
    <row r="27" spans="1:23" x14ac:dyDescent="0.2">
      <c r="H27" s="8"/>
      <c r="I27" s="26"/>
      <c r="K27" s="163" t="s">
        <v>550</v>
      </c>
      <c r="R27" s="163" t="s">
        <v>594</v>
      </c>
      <c r="V27" s="163" t="s">
        <v>595</v>
      </c>
    </row>
    <row r="28" spans="1:23" x14ac:dyDescent="0.2">
      <c r="A28" s="78" t="s">
        <v>633</v>
      </c>
      <c r="B28" s="6">
        <f>Vout+VIN_max/Nps</f>
        <v>21</v>
      </c>
      <c r="C28" s="78" t="s">
        <v>0</v>
      </c>
      <c r="G28" s="8"/>
      <c r="H28" s="8"/>
      <c r="I28" s="26"/>
      <c r="K28" s="78" t="s">
        <v>547</v>
      </c>
      <c r="L28">
        <v>1</v>
      </c>
      <c r="R28" t="str">
        <f>"5 : 1"</f>
        <v>5 : 1</v>
      </c>
      <c r="S28">
        <v>1</v>
      </c>
      <c r="V28" t="str">
        <f>CHOOSE(MODE, "Functional", "5 : 1")</f>
        <v>Functional</v>
      </c>
      <c r="W28">
        <v>1</v>
      </c>
    </row>
    <row r="29" spans="1:23" x14ac:dyDescent="0.2">
      <c r="F29" s="8"/>
      <c r="G29" s="8"/>
      <c r="H29" s="8"/>
      <c r="I29" s="26"/>
      <c r="K29" s="78" t="s">
        <v>548</v>
      </c>
      <c r="L29">
        <v>2</v>
      </c>
      <c r="R29" t="str">
        <f>"4 : 1"</f>
        <v>4 : 1</v>
      </c>
      <c r="S29">
        <v>2</v>
      </c>
      <c r="V29" t="str">
        <f>CHOOSE(MODE, "Basic", "4 : 1")</f>
        <v>Basic</v>
      </c>
      <c r="W29">
        <v>2</v>
      </c>
    </row>
    <row r="30" spans="1:23" x14ac:dyDescent="0.2">
      <c r="A30" s="112" t="s">
        <v>449</v>
      </c>
      <c r="B30" s="377">
        <f>1%*Vout*1000</f>
        <v>50</v>
      </c>
      <c r="C30" s="62" t="s">
        <v>149</v>
      </c>
      <c r="D30" s="113" t="s">
        <v>467</v>
      </c>
      <c r="F30" s="8"/>
      <c r="G30" s="8"/>
      <c r="H30" s="8"/>
      <c r="I30" s="26"/>
      <c r="K30" s="78" t="s">
        <v>549</v>
      </c>
      <c r="L30">
        <v>3</v>
      </c>
      <c r="R30" t="str">
        <f>"3 : 1"</f>
        <v>3 : 1</v>
      </c>
      <c r="S30">
        <v>3</v>
      </c>
      <c r="V30" t="str">
        <f>CHOOSE(MODE, "Reinforced", "3 : 1")</f>
        <v>Reinforced</v>
      </c>
      <c r="W30">
        <v>3</v>
      </c>
    </row>
    <row r="31" spans="1:23" x14ac:dyDescent="0.2">
      <c r="A31" s="112" t="s">
        <v>569</v>
      </c>
      <c r="B31" s="377">
        <f>1%*Vout2*1000</f>
        <v>33</v>
      </c>
      <c r="C31" s="62" t="s">
        <v>149</v>
      </c>
      <c r="D31" s="113" t="s">
        <v>568</v>
      </c>
      <c r="F31" s="8"/>
      <c r="G31" s="8"/>
      <c r="H31" s="8"/>
      <c r="I31" s="26"/>
      <c r="Q31" s="535"/>
      <c r="R31" t="str">
        <f>"2 : 1"</f>
        <v>2 : 1</v>
      </c>
      <c r="S31">
        <v>4</v>
      </c>
      <c r="V31" t="str">
        <f>CHOOSE(MODE, "", "2 : 1")</f>
        <v/>
      </c>
      <c r="W31">
        <v>4</v>
      </c>
    </row>
    <row r="32" spans="1:23" x14ac:dyDescent="0.2">
      <c r="F32" s="8"/>
      <c r="G32" s="8"/>
      <c r="H32" s="8"/>
      <c r="I32" s="26"/>
      <c r="R32" t="str">
        <f>"1.5 : 1"</f>
        <v>1.5 : 1</v>
      </c>
      <c r="S32">
        <v>5</v>
      </c>
      <c r="V32" t="str">
        <f>CHOOSE(MODE, "", "1 : 1")</f>
        <v/>
      </c>
      <c r="W32">
        <v>5</v>
      </c>
    </row>
    <row r="33" spans="1:23" x14ac:dyDescent="0.2">
      <c r="A33" s="112" t="s">
        <v>47</v>
      </c>
      <c r="B33" s="637">
        <f>IF(Vout&gt;5, 95%, 90%)</f>
        <v>0.9</v>
      </c>
      <c r="C33" s="62"/>
      <c r="D33" s="79" t="s">
        <v>176</v>
      </c>
      <c r="F33" s="8"/>
      <c r="G33" s="8"/>
      <c r="H33" s="8"/>
      <c r="I33" s="26"/>
      <c r="R33" t="str">
        <f>"1 : 1"</f>
        <v>1 : 1</v>
      </c>
      <c r="S33">
        <v>6</v>
      </c>
      <c r="V33" t="str">
        <f>CHOOSE(MODE, "", "1 : 2")</f>
        <v/>
      </c>
      <c r="W33">
        <v>6</v>
      </c>
    </row>
    <row r="34" spans="1:23" x14ac:dyDescent="0.2">
      <c r="A34" s="112" t="s">
        <v>157</v>
      </c>
      <c r="B34" s="427">
        <f>Pout/Efficiency</f>
        <v>5.5555555555555554</v>
      </c>
      <c r="C34" s="62" t="s">
        <v>45</v>
      </c>
      <c r="D34" s="113" t="s">
        <v>468</v>
      </c>
      <c r="F34" s="8"/>
      <c r="G34" s="8"/>
      <c r="H34" s="8"/>
      <c r="I34" s="26"/>
      <c r="R34" t="str">
        <f>"1 : 1.5"</f>
        <v>1 : 1.5</v>
      </c>
      <c r="S34">
        <v>7</v>
      </c>
      <c r="V34" t="str">
        <f>CHOOSE(MODE, "", "1 : 3")</f>
        <v/>
      </c>
      <c r="W34">
        <v>7</v>
      </c>
    </row>
    <row r="35" spans="1:23" x14ac:dyDescent="0.2">
      <c r="A35" s="112" t="s">
        <v>154</v>
      </c>
      <c r="B35" s="168">
        <f>Pin/VIN_min</f>
        <v>0.46296296296296297</v>
      </c>
      <c r="C35" s="62" t="s">
        <v>1</v>
      </c>
      <c r="D35" s="79"/>
      <c r="F35" s="8"/>
      <c r="G35" s="8"/>
      <c r="H35" s="8"/>
      <c r="I35" s="26"/>
      <c r="R35" t="str">
        <f>"1 : 2"</f>
        <v>1 : 2</v>
      </c>
      <c r="S35">
        <v>8</v>
      </c>
      <c r="V35" t="str">
        <f>CHOOSE(MODE, "", "1 : 4")</f>
        <v/>
      </c>
      <c r="W35">
        <v>8</v>
      </c>
    </row>
    <row r="36" spans="1:23" x14ac:dyDescent="0.2">
      <c r="A36" s="112" t="s">
        <v>155</v>
      </c>
      <c r="B36" s="168">
        <f>Pin/VIN_nom</f>
        <v>0.23148148148148148</v>
      </c>
      <c r="C36" s="62" t="s">
        <v>1</v>
      </c>
      <c r="D36" s="113" t="s">
        <v>160</v>
      </c>
      <c r="F36" s="8"/>
      <c r="G36" s="8"/>
      <c r="H36" s="8"/>
      <c r="I36" s="26">
        <v>1</v>
      </c>
      <c r="K36" s="78"/>
      <c r="R36" t="str">
        <f>"1 : 3"</f>
        <v>1 : 3</v>
      </c>
      <c r="S36">
        <v>9</v>
      </c>
      <c r="V36" t="str">
        <f>CHOOSE(MODE, "", "1 : 5")</f>
        <v/>
      </c>
      <c r="W36">
        <v>9</v>
      </c>
    </row>
    <row r="37" spans="1:23" x14ac:dyDescent="0.2">
      <c r="A37" s="112" t="s">
        <v>156</v>
      </c>
      <c r="B37" s="168">
        <f>Pin/VIN_max</f>
        <v>0.11574074074074074</v>
      </c>
      <c r="C37" s="62" t="s">
        <v>1</v>
      </c>
      <c r="D37" s="79"/>
      <c r="F37" s="8"/>
      <c r="G37" s="8"/>
      <c r="H37" s="8"/>
      <c r="I37" s="26"/>
      <c r="R37" t="str">
        <f>"1 : 4"</f>
        <v>1 : 4</v>
      </c>
      <c r="S37">
        <v>10</v>
      </c>
    </row>
    <row r="38" spans="1:23" x14ac:dyDescent="0.2">
      <c r="A38" s="112" t="s">
        <v>630</v>
      </c>
      <c r="B38" s="536">
        <f>CHOOSE(MODE, 'Calculations - Single'!N110, 'Calculations - Dual'!O110+'Calculations - Dual'!P110)</f>
        <v>3.7852258064516122</v>
      </c>
      <c r="C38" s="113" t="s">
        <v>45</v>
      </c>
      <c r="D38" s="79" t="b">
        <f>B38&lt;Pout_total</f>
        <v>1</v>
      </c>
      <c r="F38" s="8"/>
      <c r="G38" s="8"/>
      <c r="H38" s="8"/>
      <c r="I38" s="26"/>
      <c r="Q38" s="582" t="s">
        <v>401</v>
      </c>
      <c r="R38" s="470" t="str">
        <f>CHOOSE(Turns_Ratio, "5 : 1", "4 : 1", "3 : 1", "2 : 1", "1.5 : 1", "1 : 1", "1 : 1.5", "1 : 2", "1 : 3", "1 : 4")</f>
        <v>3 : 1</v>
      </c>
      <c r="S38" s="4">
        <v>3</v>
      </c>
      <c r="U38" s="582" t="s">
        <v>593</v>
      </c>
      <c r="V38" s="456" t="str">
        <f>CHOOSE(Turns_Ratio2, "5 : 1", "4 : 1", "3 : 1", "2 : 1", "1 : 1", "1 : 2", "1 : 3", "1 : 4", "1 : 5")</f>
        <v>1 : 5</v>
      </c>
      <c r="W38" s="4">
        <v>9</v>
      </c>
    </row>
    <row r="39" spans="1:23" x14ac:dyDescent="0.2">
      <c r="A39" s="112" t="s">
        <v>441</v>
      </c>
      <c r="B39" s="135">
        <v>350000</v>
      </c>
      <c r="C39" s="113" t="s">
        <v>8</v>
      </c>
      <c r="D39" s="79" t="s">
        <v>588</v>
      </c>
      <c r="F39" s="8"/>
      <c r="G39" s="8"/>
      <c r="H39" s="8"/>
      <c r="I39" s="26"/>
    </row>
    <row r="40" spans="1:23" x14ac:dyDescent="0.2">
      <c r="A40" s="27" t="s">
        <v>18</v>
      </c>
      <c r="B40" s="28">
        <v>1.21</v>
      </c>
      <c r="C40" s="8" t="s">
        <v>0</v>
      </c>
      <c r="D40" s="79" t="s">
        <v>589</v>
      </c>
      <c r="F40" s="8"/>
      <c r="G40" s="8"/>
      <c r="H40" s="8"/>
      <c r="I40" s="26"/>
      <c r="Q40" s="78" t="s">
        <v>460</v>
      </c>
      <c r="R40" s="470" t="str">
        <f>CHOOSE(Turns_Ratio, "5", "4 ", "3", "2", "1.5", "1", "0.66", "0.5", "0.33", "0.25")</f>
        <v>3</v>
      </c>
    </row>
    <row r="41" spans="1:23" x14ac:dyDescent="0.2">
      <c r="A41" s="112" t="s">
        <v>399</v>
      </c>
      <c r="B41" s="169">
        <f>'Design Converter'!E27*1000</f>
        <v>158000</v>
      </c>
      <c r="C41" s="115" t="s">
        <v>45</v>
      </c>
      <c r="D41" s="113" t="s">
        <v>590</v>
      </c>
      <c r="F41" s="8"/>
      <c r="G41" s="8"/>
      <c r="H41" s="8"/>
      <c r="I41" s="26"/>
      <c r="Q41" s="78" t="s">
        <v>509</v>
      </c>
      <c r="R41" s="470" t="str">
        <f>CHOOSE(Turns_Ratio, "5", "4 ", "3", "2", "1.5", "1", "0.66", "0.5", "0.33", "0.25")</f>
        <v>3</v>
      </c>
      <c r="V41" s="78" t="s">
        <v>597</v>
      </c>
      <c r="W41" s="163" t="str">
        <f>CHOOSE(Turns_Ratio, "1", "1", "1", "1", "1", "1", "1.5", "2", "3", "4")</f>
        <v>1</v>
      </c>
    </row>
    <row r="42" spans="1:23" x14ac:dyDescent="0.2">
      <c r="A42" s="112"/>
      <c r="B42" s="377"/>
      <c r="C42" s="115"/>
      <c r="D42" s="62"/>
      <c r="F42" s="8"/>
      <c r="G42" s="8"/>
      <c r="H42" s="8"/>
      <c r="I42" s="26"/>
      <c r="K42" s="78" t="s">
        <v>403</v>
      </c>
      <c r="Q42" s="78" t="s">
        <v>596</v>
      </c>
      <c r="R42" s="649">
        <f>ABS((Vout2+Vfwd1)/(Vout+Vfwd1))</f>
        <v>0.67924528301886788</v>
      </c>
      <c r="V42" s="78" t="s">
        <v>596</v>
      </c>
      <c r="W42" s="634">
        <f>Nsec1sec2</f>
        <v>0.67924528301886788</v>
      </c>
    </row>
    <row r="43" spans="1:23" ht="15.75" x14ac:dyDescent="0.3">
      <c r="A43" s="112" t="s">
        <v>400</v>
      </c>
      <c r="B43" s="536">
        <v>0.1</v>
      </c>
      <c r="C43" s="79" t="s">
        <v>45</v>
      </c>
      <c r="D43" s="113" t="s">
        <v>591</v>
      </c>
      <c r="F43" s="617" t="s">
        <v>592</v>
      </c>
      <c r="G43" s="8"/>
      <c r="H43" s="8"/>
      <c r="I43" s="26"/>
      <c r="Q43" s="486" t="s">
        <v>510</v>
      </c>
      <c r="R43" s="632">
        <f>Nps/Nsec1sec2</f>
        <v>4.416666666666667</v>
      </c>
      <c r="V43" s="4"/>
      <c r="W43" s="633">
        <f>W41*W42</f>
        <v>0.67924528301886788</v>
      </c>
    </row>
    <row r="44" spans="1:23" ht="13.5" thickBot="1" x14ac:dyDescent="0.25">
      <c r="A44" s="29"/>
      <c r="B44" s="30"/>
      <c r="C44" s="82"/>
      <c r="D44" s="30"/>
      <c r="E44" s="30"/>
      <c r="F44" s="30"/>
      <c r="G44" s="30"/>
      <c r="H44" s="30"/>
      <c r="I44" s="31"/>
      <c r="K44" s="452" t="str">
        <f>"SCH_"&amp;B51&amp;"_"&amp;F56&amp;"_"&amp;I56&amp;"_"&amp;F50</f>
        <v>SCH_SINGLE_UVLOadj_SSint_TCyes</v>
      </c>
      <c r="R44" s="374">
        <f>ROUND(Nsec1sec2,1)</f>
        <v>0.7</v>
      </c>
      <c r="V44" s="163" t="s">
        <v>598</v>
      </c>
      <c r="W44" s="623" t="str">
        <f>CHOOSE(MODE, R38, R38&amp;" : "&amp;ROUND(W43,2))</f>
        <v>3 : 1</v>
      </c>
    </row>
    <row r="45" spans="1:23" x14ac:dyDescent="0.2">
      <c r="A45" s="8"/>
      <c r="B45" s="8"/>
      <c r="C45" s="41"/>
      <c r="D45" s="8"/>
      <c r="E45" s="8"/>
      <c r="F45" s="8"/>
      <c r="G45" s="8"/>
      <c r="H45" s="8"/>
      <c r="I45" s="8"/>
    </row>
    <row r="46" spans="1:23" ht="16.5" thickBot="1" x14ac:dyDescent="0.3">
      <c r="A46" s="52" t="s">
        <v>579</v>
      </c>
      <c r="B46" s="8"/>
      <c r="C46" s="41"/>
      <c r="D46" s="8"/>
      <c r="E46" s="8"/>
      <c r="F46" s="8"/>
      <c r="G46" s="8"/>
      <c r="H46" s="8"/>
      <c r="I46" s="8"/>
    </row>
    <row r="47" spans="1:23" ht="15.75" x14ac:dyDescent="0.25">
      <c r="A47" s="387"/>
      <c r="B47" s="388"/>
      <c r="C47" s="389"/>
      <c r="D47" s="388"/>
      <c r="E47" s="388"/>
      <c r="F47" s="388"/>
      <c r="G47" s="388"/>
      <c r="H47" s="388"/>
      <c r="I47" s="444"/>
      <c r="J47" s="444"/>
      <c r="K47" s="444"/>
      <c r="L47" s="444"/>
      <c r="M47" s="444"/>
      <c r="N47" s="444"/>
      <c r="O47" s="25"/>
    </row>
    <row r="48" spans="1:23" x14ac:dyDescent="0.2">
      <c r="A48" s="384" t="s">
        <v>367</v>
      </c>
      <c r="B48" s="79" t="s">
        <v>368</v>
      </c>
      <c r="C48" s="445">
        <v>1</v>
      </c>
      <c r="D48" s="8"/>
      <c r="E48" s="384" t="s">
        <v>387</v>
      </c>
      <c r="F48" s="79" t="s">
        <v>371</v>
      </c>
      <c r="G48" s="166" t="b">
        <v>1</v>
      </c>
      <c r="I48" s="160" t="s">
        <v>303</v>
      </c>
      <c r="J48" s="166">
        <v>1</v>
      </c>
      <c r="K48" t="str">
        <f>B51&amp;", "&amp;F50&amp;", "&amp;I50&amp;", "&amp;F56&amp;", "&amp;I56</f>
        <v>SINGLE, TCyes, IlimRes, UVLOadj, SSint</v>
      </c>
      <c r="O48" s="25"/>
      <c r="Q48" s="402" t="s">
        <v>337</v>
      </c>
      <c r="R48" s="4" t="s">
        <v>332</v>
      </c>
      <c r="S48" s="374">
        <v>1</v>
      </c>
    </row>
    <row r="49" spans="1:26" x14ac:dyDescent="0.2">
      <c r="A49" s="383"/>
      <c r="B49" s="79" t="s">
        <v>369</v>
      </c>
      <c r="C49" s="445">
        <v>2</v>
      </c>
      <c r="D49" s="8"/>
      <c r="E49" s="38"/>
      <c r="F49" s="79" t="s">
        <v>372</v>
      </c>
      <c r="G49" s="166" t="b">
        <v>0</v>
      </c>
      <c r="I49" s="160" t="s">
        <v>304</v>
      </c>
      <c r="J49" s="166">
        <v>2</v>
      </c>
      <c r="K49" t="str">
        <f>C51&amp;", "&amp;G50&amp;", "&amp;J50&amp;", "&amp;G56&amp;", "&amp;J56</f>
        <v>1, 1, 2, 1, 2</v>
      </c>
      <c r="O49" s="25"/>
      <c r="Q49" s="402" t="s">
        <v>339</v>
      </c>
      <c r="R49" s="4" t="s">
        <v>333</v>
      </c>
      <c r="S49" s="374">
        <v>2</v>
      </c>
    </row>
    <row r="50" spans="1:26" x14ac:dyDescent="0.2">
      <c r="B50" s="78" t="s">
        <v>523</v>
      </c>
      <c r="C50" s="597">
        <v>3</v>
      </c>
      <c r="D50" s="8"/>
      <c r="E50" s="451" t="s">
        <v>388</v>
      </c>
      <c r="F50" s="386" t="str">
        <f>CHOOSE(G50, "TCyes", "TCno")</f>
        <v>TCyes</v>
      </c>
      <c r="G50" s="381">
        <v>1</v>
      </c>
      <c r="H50" s="451" t="s">
        <v>302</v>
      </c>
      <c r="I50" s="447" t="str">
        <f>CHOOSE(J50, "IlimGND", "IlimRes")</f>
        <v>IlimRes</v>
      </c>
      <c r="J50" s="381">
        <f>IF(C56=4, 1, 2)</f>
        <v>2</v>
      </c>
      <c r="K50" t="str">
        <f>C51&amp;G50&amp;J50&amp;G56&amp;J56</f>
        <v>11212</v>
      </c>
      <c r="O50" s="25"/>
      <c r="Q50" s="402" t="s">
        <v>340</v>
      </c>
      <c r="R50" s="4" t="s">
        <v>334</v>
      </c>
      <c r="S50" s="374">
        <v>3</v>
      </c>
    </row>
    <row r="51" spans="1:26" x14ac:dyDescent="0.2">
      <c r="A51" s="448" t="s">
        <v>287</v>
      </c>
      <c r="B51" s="446" t="str">
        <f>CHOOSE(C51,"SINGLE", IF(Vout2_actual&gt;0, "DUAL", "BIPOLAR"))</f>
        <v>SINGLE</v>
      </c>
      <c r="C51" s="385">
        <v>1</v>
      </c>
      <c r="D51" s="8"/>
      <c r="E51" s="8"/>
      <c r="G51" s="80">
        <f>TC</f>
        <v>1</v>
      </c>
      <c r="I51" s="381"/>
      <c r="J51" s="8"/>
      <c r="O51" s="25"/>
      <c r="Q51" s="402" t="s">
        <v>338</v>
      </c>
      <c r="R51" s="4" t="s">
        <v>335</v>
      </c>
      <c r="S51" s="374">
        <v>4</v>
      </c>
    </row>
    <row r="52" spans="1:26" x14ac:dyDescent="0.2">
      <c r="A52" s="383"/>
      <c r="B52" s="4" t="b">
        <f>CHOOSE(C51, TRUE, FALSE)</f>
        <v>1</v>
      </c>
      <c r="C52" s="80" t="str">
        <f>CHOOSE(C51,"1", IF(Vout2&gt;0, "2", "3"))</f>
        <v>1</v>
      </c>
      <c r="O52" s="25"/>
      <c r="Q52" s="402" t="s">
        <v>342</v>
      </c>
      <c r="R52" s="4" t="s">
        <v>341</v>
      </c>
      <c r="S52" s="374">
        <v>5</v>
      </c>
    </row>
    <row r="53" spans="1:26" x14ac:dyDescent="0.2">
      <c r="O53" s="25"/>
      <c r="Q53" s="450" t="s">
        <v>336</v>
      </c>
      <c r="R53" s="456" t="str">
        <f>CHOOSE(S53,"6.3V","10V","16V","25V","50V")</f>
        <v>6.3V</v>
      </c>
      <c r="S53" s="470">
        <f>IF(Vout&lt;=5, 1, IF(Vout&lt;=8, 2, IF(Vout&lt;=12, 3, IF(Vout&lt;=20, 4, 5))))</f>
        <v>1</v>
      </c>
    </row>
    <row r="54" spans="1:26" x14ac:dyDescent="0.2">
      <c r="A54" s="390" t="s">
        <v>189</v>
      </c>
      <c r="B54" s="113" t="s">
        <v>371</v>
      </c>
      <c r="C54" s="445">
        <v>1</v>
      </c>
      <c r="D54" s="8"/>
      <c r="E54" s="163" t="s">
        <v>322</v>
      </c>
      <c r="F54" s="486" t="s">
        <v>556</v>
      </c>
      <c r="G54" s="166">
        <v>1</v>
      </c>
      <c r="H54" s="384" t="s">
        <v>298</v>
      </c>
      <c r="I54" s="79" t="s">
        <v>556</v>
      </c>
      <c r="J54" s="166">
        <v>1</v>
      </c>
      <c r="L54" s="160" t="s">
        <v>320</v>
      </c>
      <c r="M54" s="166">
        <v>1</v>
      </c>
      <c r="O54" s="25"/>
    </row>
    <row r="55" spans="1:26" x14ac:dyDescent="0.2">
      <c r="A55" s="391"/>
      <c r="B55" s="113" t="s">
        <v>372</v>
      </c>
      <c r="C55" s="445">
        <v>2</v>
      </c>
      <c r="D55" s="8"/>
      <c r="F55" s="486" t="s">
        <v>557</v>
      </c>
      <c r="G55" s="166">
        <v>2</v>
      </c>
      <c r="H55" s="38"/>
      <c r="I55" s="79" t="s">
        <v>678</v>
      </c>
      <c r="J55" s="166">
        <v>2</v>
      </c>
      <c r="L55" s="160" t="s">
        <v>321</v>
      </c>
      <c r="M55" s="166">
        <v>2</v>
      </c>
      <c r="O55" s="25"/>
      <c r="R55" s="4" t="s">
        <v>658</v>
      </c>
      <c r="S55" s="4"/>
      <c r="T55" s="4" t="s">
        <v>116</v>
      </c>
      <c r="U55" s="4" t="s">
        <v>659</v>
      </c>
    </row>
    <row r="56" spans="1:26" x14ac:dyDescent="0.2">
      <c r="A56" s="449" t="s">
        <v>288</v>
      </c>
      <c r="B56" s="446" t="str">
        <f>CHOOSE(C56, "YES", "NO")</f>
        <v>YES</v>
      </c>
      <c r="C56" s="385">
        <v>1</v>
      </c>
      <c r="D56" s="8"/>
      <c r="E56" s="450" t="s">
        <v>308</v>
      </c>
      <c r="F56" s="447" t="str">
        <f>CHOOSE(G56, "UVLOadj", "UVLOint")</f>
        <v>UVLOadj</v>
      </c>
      <c r="G56" s="381">
        <v>1</v>
      </c>
      <c r="H56" s="451" t="s">
        <v>289</v>
      </c>
      <c r="I56" s="386" t="str">
        <f>CHOOSE(J56, "SSadj", "SSint")</f>
        <v>SSint</v>
      </c>
      <c r="J56" s="381">
        <v>2</v>
      </c>
      <c r="L56" s="382" t="s">
        <v>300</v>
      </c>
      <c r="M56" s="381">
        <v>1</v>
      </c>
      <c r="O56" s="25"/>
      <c r="R56" s="469" t="s">
        <v>345</v>
      </c>
      <c r="S56" s="374">
        <v>1</v>
      </c>
      <c r="T56" s="78" t="s">
        <v>351</v>
      </c>
      <c r="U56" s="472">
        <v>0.5</v>
      </c>
    </row>
    <row r="57" spans="1:26" ht="13.5" thickBot="1" x14ac:dyDescent="0.25">
      <c r="A57" s="29"/>
      <c r="B57" s="30"/>
      <c r="C57" s="165"/>
      <c r="D57" s="30"/>
      <c r="E57" s="30"/>
      <c r="F57" s="30"/>
      <c r="G57" s="30"/>
      <c r="H57" s="30"/>
      <c r="I57" s="30"/>
      <c r="J57" s="30"/>
      <c r="K57" s="30"/>
      <c r="L57" s="30"/>
      <c r="M57" s="30"/>
      <c r="N57" s="30"/>
      <c r="O57" s="25"/>
      <c r="R57" s="469" t="s">
        <v>119</v>
      </c>
      <c r="S57" s="374">
        <v>2</v>
      </c>
      <c r="T57" s="78" t="s">
        <v>355</v>
      </c>
      <c r="U57" s="472">
        <v>1.3</v>
      </c>
    </row>
    <row r="58" spans="1:26" x14ac:dyDescent="0.2">
      <c r="A58" s="8"/>
      <c r="B58" s="8" t="b">
        <f>(CONFIG="2")</f>
        <v>0</v>
      </c>
      <c r="C58" s="41" t="str">
        <f>CONFIG</f>
        <v>1</v>
      </c>
      <c r="D58" s="8"/>
      <c r="E58" s="8"/>
      <c r="F58" s="8"/>
      <c r="G58" s="8"/>
      <c r="H58" s="8"/>
      <c r="I58" s="8"/>
      <c r="R58" s="469" t="s">
        <v>346</v>
      </c>
      <c r="S58" s="374">
        <v>3</v>
      </c>
      <c r="T58" s="78" t="s">
        <v>356</v>
      </c>
      <c r="U58" s="472">
        <v>2.5</v>
      </c>
    </row>
    <row r="59" spans="1:26" ht="16.5" thickBot="1" x14ac:dyDescent="0.3">
      <c r="A59" s="52" t="s">
        <v>580</v>
      </c>
      <c r="B59" s="41"/>
      <c r="C59" s="41"/>
      <c r="E59" s="8"/>
      <c r="F59" s="8"/>
      <c r="G59" s="8"/>
      <c r="H59" s="8"/>
      <c r="I59" s="8"/>
      <c r="R59" s="469" t="s">
        <v>347</v>
      </c>
      <c r="S59" s="374">
        <v>4</v>
      </c>
      <c r="T59" s="78" t="s">
        <v>354</v>
      </c>
      <c r="U59" s="472">
        <v>5.0999999999999996</v>
      </c>
    </row>
    <row r="60" spans="1:26" x14ac:dyDescent="0.2">
      <c r="A60" s="111"/>
      <c r="B60" s="615"/>
      <c r="C60" s="616"/>
      <c r="D60" s="158"/>
      <c r="E60" s="81"/>
      <c r="F60" s="32"/>
      <c r="G60" s="32"/>
      <c r="H60" s="32"/>
      <c r="I60" s="33">
        <v>1</v>
      </c>
      <c r="R60" s="469" t="s">
        <v>348</v>
      </c>
      <c r="S60" s="374">
        <v>5</v>
      </c>
      <c r="T60" s="78" t="s">
        <v>357</v>
      </c>
      <c r="U60" s="472">
        <v>8</v>
      </c>
    </row>
    <row r="61" spans="1:26" x14ac:dyDescent="0.2">
      <c r="A61" s="112" t="s">
        <v>150</v>
      </c>
      <c r="B61" s="167">
        <f>Nps*(Vout+Vfwd2)/(VIN_min+Nps*(Vout+Vfwd2))</f>
        <v>0.57446808510638303</v>
      </c>
      <c r="C61" s="8"/>
      <c r="D61" t="b">
        <f>B61&gt;0.75</f>
        <v>0</v>
      </c>
      <c r="E61" s="79"/>
      <c r="F61" s="8"/>
      <c r="G61" s="8"/>
      <c r="H61" s="8"/>
      <c r="I61" s="26">
        <v>1</v>
      </c>
      <c r="Q61" s="450" t="s">
        <v>349</v>
      </c>
      <c r="R61" s="456" t="str">
        <f>CHOOSE(S61,"0402","0603","0805","1206","1210")</f>
        <v>1210</v>
      </c>
      <c r="S61" s="470">
        <v>5</v>
      </c>
      <c r="T61" s="456" t="str">
        <f>CHOOSE(S61,T56,T57, T58,T59,T60)</f>
        <v>3.2 x 2.5</v>
      </c>
    </row>
    <row r="62" spans="1:26" x14ac:dyDescent="0.2">
      <c r="A62" s="112" t="s">
        <v>158</v>
      </c>
      <c r="B62" s="167">
        <f>Nps*(Vout+Vfwd1)/(VIN_nom+Nps*(Vout+Vfwd1))</f>
        <v>0.39849624060150374</v>
      </c>
      <c r="C62" s="8"/>
      <c r="F62" s="8"/>
      <c r="G62" s="8"/>
      <c r="H62" s="8"/>
      <c r="I62" s="26"/>
    </row>
    <row r="63" spans="1:26" x14ac:dyDescent="0.2">
      <c r="A63" s="112" t="s">
        <v>151</v>
      </c>
      <c r="B63" s="167">
        <f>Nps*(Vout+Vfwd1)/(VIN_max+Nps*(Vout+Vfwd1))</f>
        <v>0.24882629107981219</v>
      </c>
      <c r="C63" s="8"/>
      <c r="E63" s="79"/>
      <c r="F63" s="8"/>
      <c r="G63" s="8"/>
      <c r="H63" s="8"/>
      <c r="I63" s="26"/>
    </row>
    <row r="64" spans="1:26" x14ac:dyDescent="0.2">
      <c r="A64" s="78"/>
      <c r="B64" s="8"/>
      <c r="C64" s="8"/>
      <c r="D64" s="8"/>
      <c r="E64" s="79"/>
      <c r="F64" s="8"/>
      <c r="G64" s="8"/>
      <c r="H64" s="8"/>
      <c r="I64" s="26"/>
      <c r="R64" s="4" t="s">
        <v>658</v>
      </c>
      <c r="S64" s="4"/>
      <c r="T64" s="4" t="s">
        <v>116</v>
      </c>
      <c r="U64" s="4" t="s">
        <v>659</v>
      </c>
      <c r="W64" s="4" t="s">
        <v>658</v>
      </c>
      <c r="X64" s="4"/>
      <c r="Y64" s="4" t="s">
        <v>116</v>
      </c>
      <c r="Z64" s="4" t="s">
        <v>659</v>
      </c>
    </row>
    <row r="65" spans="1:26" x14ac:dyDescent="0.2">
      <c r="A65" s="112"/>
      <c r="B65" s="659"/>
      <c r="C65" s="79"/>
      <c r="D65" s="79"/>
      <c r="F65" s="8"/>
      <c r="G65" s="8"/>
      <c r="H65" s="8"/>
      <c r="I65" s="26"/>
      <c r="R65" s="78" t="s">
        <v>352</v>
      </c>
      <c r="S65" s="374">
        <v>1</v>
      </c>
      <c r="T65" s="486" t="s">
        <v>644</v>
      </c>
      <c r="U65" s="472">
        <v>36</v>
      </c>
      <c r="W65" s="78" t="s">
        <v>665</v>
      </c>
      <c r="X65" s="374">
        <v>1</v>
      </c>
      <c r="Y65" s="78" t="s">
        <v>355</v>
      </c>
      <c r="Z65">
        <v>1.3</v>
      </c>
    </row>
    <row r="66" spans="1:26" x14ac:dyDescent="0.2">
      <c r="A66" s="112"/>
      <c r="B66" s="659"/>
      <c r="C66" s="8"/>
      <c r="D66" s="79"/>
      <c r="F66" s="8"/>
      <c r="G66" s="8"/>
      <c r="H66" s="8"/>
      <c r="I66" s="26"/>
      <c r="R66" s="78" t="s">
        <v>353</v>
      </c>
      <c r="S66" s="374">
        <v>2</v>
      </c>
      <c r="T66" s="486" t="s">
        <v>643</v>
      </c>
      <c r="U66" s="472">
        <v>49</v>
      </c>
      <c r="W66" s="78" t="s">
        <v>655</v>
      </c>
      <c r="X66" s="374">
        <v>2</v>
      </c>
      <c r="Y66" s="78" t="s">
        <v>664</v>
      </c>
      <c r="Z66">
        <v>3.2</v>
      </c>
    </row>
    <row r="67" spans="1:26" x14ac:dyDescent="0.2">
      <c r="A67" s="112"/>
      <c r="B67" s="659"/>
      <c r="C67" s="79"/>
      <c r="D67" s="79"/>
      <c r="F67" s="8"/>
      <c r="G67" s="8"/>
      <c r="H67" s="8"/>
      <c r="I67" s="26"/>
      <c r="R67" s="78" t="s">
        <v>634</v>
      </c>
      <c r="S67" s="374">
        <v>3</v>
      </c>
      <c r="T67" s="486" t="s">
        <v>642</v>
      </c>
      <c r="U67" s="472">
        <v>64</v>
      </c>
      <c r="W67" s="78" t="s">
        <v>656</v>
      </c>
      <c r="X67" s="374">
        <v>3</v>
      </c>
      <c r="Y67" s="78" t="s">
        <v>663</v>
      </c>
      <c r="Z67">
        <v>6.5</v>
      </c>
    </row>
    <row r="68" spans="1:26" x14ac:dyDescent="0.2">
      <c r="A68" s="78"/>
      <c r="B68" s="12"/>
      <c r="C68"/>
      <c r="I68" s="26">
        <v>1</v>
      </c>
      <c r="R68" s="78" t="s">
        <v>635</v>
      </c>
      <c r="S68" s="374">
        <v>4</v>
      </c>
      <c r="T68" s="486" t="s">
        <v>641</v>
      </c>
      <c r="U68" s="472">
        <v>81</v>
      </c>
      <c r="W68" s="78" t="s">
        <v>657</v>
      </c>
      <c r="X68" s="374">
        <v>4</v>
      </c>
      <c r="Y68" s="78" t="s">
        <v>662</v>
      </c>
      <c r="Z68">
        <v>12.5</v>
      </c>
    </row>
    <row r="69" spans="1:26" x14ac:dyDescent="0.2">
      <c r="A69" s="113"/>
      <c r="B69" s="660"/>
      <c r="C69" s="79"/>
      <c r="D69" s="79"/>
      <c r="E69" s="79"/>
      <c r="F69" s="8"/>
      <c r="G69" s="8"/>
      <c r="H69" s="8"/>
      <c r="I69" s="26"/>
      <c r="R69" s="78" t="s">
        <v>636</v>
      </c>
      <c r="S69" s="374">
        <v>5</v>
      </c>
      <c r="T69" s="486" t="s">
        <v>640</v>
      </c>
      <c r="U69" s="472">
        <v>100</v>
      </c>
      <c r="W69" s="450" t="s">
        <v>660</v>
      </c>
    </row>
    <row r="70" spans="1:26" x14ac:dyDescent="0.2">
      <c r="A70" s="113"/>
      <c r="B70" s="660"/>
      <c r="C70" s="8"/>
      <c r="D70" s="79">
        <f>Isw_min</f>
        <v>0.3</v>
      </c>
      <c r="E70" s="79"/>
      <c r="F70" s="8"/>
      <c r="G70" s="8"/>
      <c r="H70" s="8"/>
      <c r="I70" s="26"/>
      <c r="R70" s="78" t="s">
        <v>637</v>
      </c>
      <c r="S70" s="374">
        <v>6</v>
      </c>
      <c r="T70" s="486" t="s">
        <v>639</v>
      </c>
      <c r="U70" s="472">
        <v>120</v>
      </c>
    </row>
    <row r="71" spans="1:26" x14ac:dyDescent="0.2">
      <c r="A71" s="113"/>
      <c r="B71" s="660"/>
      <c r="C71" s="79"/>
      <c r="D71" s="79"/>
      <c r="E71" s="79"/>
      <c r="F71" s="8"/>
      <c r="G71" s="8"/>
      <c r="H71" s="8"/>
      <c r="I71" s="26"/>
      <c r="R71" s="78" t="s">
        <v>638</v>
      </c>
      <c r="S71" s="374">
        <v>7</v>
      </c>
      <c r="T71" s="486" t="s">
        <v>645</v>
      </c>
      <c r="U71" s="472">
        <v>143</v>
      </c>
    </row>
    <row r="72" spans="1:26" ht="15.75" x14ac:dyDescent="0.3">
      <c r="A72" s="78"/>
      <c r="B72" s="8"/>
      <c r="C72" s="79"/>
      <c r="D72" s="8"/>
      <c r="E72" s="79"/>
      <c r="F72" s="8"/>
      <c r="G72" s="8"/>
      <c r="H72" s="8"/>
      <c r="I72" s="26"/>
      <c r="K72" s="78" t="s">
        <v>324</v>
      </c>
      <c r="Q72" s="450" t="s">
        <v>466</v>
      </c>
    </row>
    <row r="73" spans="1:26" x14ac:dyDescent="0.2">
      <c r="A73" s="112" t="s">
        <v>152</v>
      </c>
      <c r="B73" s="43">
        <f>'Design Converter'!L7/1000000</f>
        <v>3.0000000000000001E-5</v>
      </c>
      <c r="C73" s="8" t="s">
        <v>11</v>
      </c>
      <c r="D73" s="79" t="s">
        <v>465</v>
      </c>
      <c r="F73" s="8"/>
      <c r="G73" s="8"/>
      <c r="H73" s="8"/>
      <c r="I73" s="26"/>
    </row>
    <row r="74" spans="1:26" x14ac:dyDescent="0.2">
      <c r="A74" s="112" t="s">
        <v>691</v>
      </c>
      <c r="B74" s="135">
        <f>'Design Converter'!L11</f>
        <v>200</v>
      </c>
      <c r="C74" s="8" t="s">
        <v>692</v>
      </c>
      <c r="D74" s="79"/>
      <c r="F74" s="8"/>
      <c r="G74" s="8"/>
      <c r="H74" s="8"/>
      <c r="I74" s="26"/>
    </row>
    <row r="75" spans="1:26" x14ac:dyDescent="0.2">
      <c r="A75" s="112" t="s">
        <v>398</v>
      </c>
      <c r="B75" s="11">
        <f>'Design Converter'!L8/1000</f>
        <v>0.2</v>
      </c>
      <c r="C75" s="115" t="s">
        <v>45</v>
      </c>
      <c r="D75" s="79" t="s">
        <v>463</v>
      </c>
      <c r="F75" s="8"/>
      <c r="G75" s="8"/>
      <c r="H75" s="8"/>
      <c r="I75" s="26"/>
    </row>
    <row r="76" spans="1:26" x14ac:dyDescent="0.2">
      <c r="A76" s="112" t="s">
        <v>461</v>
      </c>
      <c r="B76" s="11">
        <f>'Design Converter'!L9/1000</f>
        <v>0.04</v>
      </c>
      <c r="C76" s="115" t="s">
        <v>45</v>
      </c>
      <c r="D76" s="79" t="s">
        <v>464</v>
      </c>
      <c r="F76" s="8"/>
      <c r="G76" s="8"/>
      <c r="H76" s="8"/>
      <c r="I76" s="26">
        <v>2</v>
      </c>
    </row>
    <row r="77" spans="1:26" x14ac:dyDescent="0.2">
      <c r="A77" s="112" t="s">
        <v>462</v>
      </c>
      <c r="B77" s="11">
        <f>'Design Converter'!L10/1000</f>
        <v>0.1</v>
      </c>
      <c r="C77" s="115" t="s">
        <v>45</v>
      </c>
      <c r="D77" s="79" t="s">
        <v>562</v>
      </c>
      <c r="E77" s="79"/>
      <c r="F77" s="8"/>
      <c r="G77" s="8"/>
      <c r="H77" s="8"/>
      <c r="I77" s="26">
        <v>1</v>
      </c>
    </row>
    <row r="78" spans="1:26" x14ac:dyDescent="0.2">
      <c r="A78" s="112"/>
      <c r="B78" s="8"/>
      <c r="C78" s="8"/>
      <c r="D78" s="8"/>
      <c r="E78" s="8"/>
      <c r="F78" s="8"/>
      <c r="G78" s="8"/>
      <c r="H78" s="8"/>
      <c r="I78" s="26"/>
    </row>
    <row r="79" spans="1:26" ht="15.75" customHeight="1" x14ac:dyDescent="0.2">
      <c r="A79" s="79" t="s">
        <v>561</v>
      </c>
      <c r="B79" s="197">
        <v>100</v>
      </c>
      <c r="C79" s="113" t="s">
        <v>102</v>
      </c>
      <c r="D79" s="79"/>
      <c r="E79" s="8"/>
      <c r="F79" s="8"/>
      <c r="H79" s="8"/>
      <c r="I79" s="26"/>
    </row>
    <row r="80" spans="1:26" x14ac:dyDescent="0.2">
      <c r="A80" s="112" t="s">
        <v>558</v>
      </c>
      <c r="B80" s="189">
        <f>Rdcr_pri*(1+0.0039*(B79-25))</f>
        <v>0.25850000000000001</v>
      </c>
      <c r="C80" s="115" t="s">
        <v>45</v>
      </c>
      <c r="D80" s="8"/>
      <c r="H80" s="8"/>
      <c r="I80" s="26"/>
    </row>
    <row r="81" spans="1:12" x14ac:dyDescent="0.2">
      <c r="A81" s="112" t="s">
        <v>559</v>
      </c>
      <c r="B81" s="189">
        <f>Rdcr_sec*(1+0.0039*(B79-25))</f>
        <v>5.1700000000000003E-2</v>
      </c>
      <c r="C81" s="115" t="s">
        <v>45</v>
      </c>
      <c r="D81" s="8"/>
      <c r="H81" s="8"/>
      <c r="I81" s="26"/>
    </row>
    <row r="82" spans="1:12" x14ac:dyDescent="0.2">
      <c r="A82" s="112" t="s">
        <v>560</v>
      </c>
      <c r="B82" s="189">
        <f>Rdcr_sec2*(1+0.0039*(B79-25))</f>
        <v>0.12925</v>
      </c>
      <c r="C82" s="115" t="s">
        <v>45</v>
      </c>
      <c r="D82" s="8"/>
      <c r="H82" s="8"/>
      <c r="I82" s="26"/>
    </row>
    <row r="83" spans="1:12" x14ac:dyDescent="0.2">
      <c r="I83" s="26"/>
    </row>
    <row r="84" spans="1:12" x14ac:dyDescent="0.2">
      <c r="A84" t="s">
        <v>690</v>
      </c>
      <c r="B84" s="653">
        <f>(Vout+Vfwd1)*Nps*0.00000045/Isw_min*1000000</f>
        <v>23.849999999999998</v>
      </c>
      <c r="C84" s="4" t="s">
        <v>11</v>
      </c>
      <c r="I84" s="26"/>
    </row>
    <row r="85" spans="1:12" ht="13.5" thickBot="1" x14ac:dyDescent="0.25">
      <c r="A85" s="171"/>
      <c r="B85" s="172"/>
      <c r="C85" s="30"/>
      <c r="D85" s="30"/>
      <c r="E85" s="30"/>
      <c r="F85" s="30"/>
      <c r="G85" s="30"/>
      <c r="H85" s="30"/>
      <c r="I85" s="31"/>
    </row>
    <row r="86" spans="1:12" x14ac:dyDescent="0.2">
      <c r="A86" s="41"/>
      <c r="B86" s="40"/>
      <c r="C86" s="40"/>
      <c r="D86" s="8"/>
      <c r="E86" s="8"/>
      <c r="F86" s="8"/>
      <c r="G86" s="8"/>
      <c r="H86" s="8"/>
      <c r="I86" s="8"/>
    </row>
    <row r="88" spans="1:12" ht="16.5" thickBot="1" x14ac:dyDescent="0.3">
      <c r="A88" s="52" t="s">
        <v>581</v>
      </c>
      <c r="B88" s="8"/>
      <c r="D88" s="41"/>
      <c r="E88" s="8"/>
      <c r="F88" s="8"/>
      <c r="G88" s="8"/>
      <c r="H88" s="8"/>
      <c r="I88" s="8"/>
    </row>
    <row r="89" spans="1:12" x14ac:dyDescent="0.2">
      <c r="A89" s="111" t="s">
        <v>165</v>
      </c>
      <c r="B89" s="426"/>
      <c r="C89" s="170" t="s">
        <v>1</v>
      </c>
      <c r="D89" s="81" t="s">
        <v>164</v>
      </c>
      <c r="E89" s="32"/>
      <c r="F89" s="32"/>
      <c r="G89" s="32"/>
      <c r="H89" s="32"/>
      <c r="I89" s="33"/>
      <c r="L89" s="6"/>
    </row>
    <row r="90" spans="1:12" x14ac:dyDescent="0.2">
      <c r="A90" s="112" t="s">
        <v>166</v>
      </c>
      <c r="B90" s="427"/>
      <c r="C90" s="113" t="s">
        <v>1</v>
      </c>
      <c r="D90" s="8"/>
      <c r="E90" s="79"/>
      <c r="F90" s="8"/>
      <c r="G90" s="8"/>
      <c r="H90" s="8"/>
      <c r="I90" s="26"/>
      <c r="L90" s="6"/>
    </row>
    <row r="91" spans="1:12" x14ac:dyDescent="0.2">
      <c r="A91" s="112" t="s">
        <v>167</v>
      </c>
      <c r="B91" s="427"/>
      <c r="C91" s="113" t="s">
        <v>1</v>
      </c>
      <c r="D91" s="8"/>
      <c r="E91" s="79"/>
      <c r="F91" s="8"/>
      <c r="G91" s="8"/>
      <c r="H91" s="8"/>
      <c r="I91" s="26"/>
      <c r="L91" s="6"/>
    </row>
    <row r="92" spans="1:12" x14ac:dyDescent="0.2">
      <c r="A92" s="112"/>
      <c r="B92" s="173"/>
      <c r="C92" s="113"/>
      <c r="D92" s="8"/>
      <c r="E92" s="79"/>
      <c r="F92" s="8"/>
      <c r="G92" s="8"/>
      <c r="H92" s="8"/>
      <c r="I92" s="26"/>
      <c r="L92" s="6"/>
    </row>
    <row r="93" spans="1:12" x14ac:dyDescent="0.2">
      <c r="A93" s="112" t="s">
        <v>175</v>
      </c>
      <c r="B93" s="568">
        <f>Vout_ripple</f>
        <v>50</v>
      </c>
      <c r="C93" s="113" t="s">
        <v>149</v>
      </c>
      <c r="D93" s="79" t="s">
        <v>617</v>
      </c>
      <c r="F93" s="8"/>
      <c r="G93" s="8"/>
      <c r="H93" s="8"/>
      <c r="I93" s="26"/>
      <c r="L93" s="6"/>
    </row>
    <row r="94" spans="1:12" x14ac:dyDescent="0.2">
      <c r="A94" s="511" t="s">
        <v>12</v>
      </c>
      <c r="B94" s="198">
        <f>MAX(4.7, CHOOSE(MODE, 'Calculations - Single'!BA212, 'Calculations - Dual'!AW105))</f>
        <v>46.558277419354823</v>
      </c>
      <c r="C94" s="207" t="s">
        <v>97</v>
      </c>
      <c r="D94" s="79" t="s">
        <v>616</v>
      </c>
      <c r="E94" s="79"/>
      <c r="F94" s="8"/>
      <c r="G94" s="8"/>
      <c r="H94" s="8"/>
      <c r="I94" s="26"/>
    </row>
    <row r="95" spans="1:12" x14ac:dyDescent="0.2">
      <c r="A95" s="112" t="s">
        <v>14</v>
      </c>
      <c r="B95" s="612">
        <f>'Design Converter'!E21</f>
        <v>100</v>
      </c>
      <c r="C95" s="207" t="s">
        <v>97</v>
      </c>
      <c r="D95" s="79" t="s">
        <v>168</v>
      </c>
      <c r="F95" s="8"/>
      <c r="G95" s="8"/>
      <c r="H95" s="8"/>
      <c r="I95" s="26"/>
    </row>
    <row r="96" spans="1:12" x14ac:dyDescent="0.2">
      <c r="A96" s="206" t="s">
        <v>182</v>
      </c>
      <c r="B96" s="569">
        <f>(Vripple1_spec-Iout*B98/Cout*1000)/Iout</f>
        <v>35.477812718378757</v>
      </c>
      <c r="C96" s="115" t="s">
        <v>259</v>
      </c>
      <c r="D96" s="79" t="s">
        <v>107</v>
      </c>
      <c r="F96" s="8"/>
      <c r="G96" s="8"/>
      <c r="H96" s="8"/>
      <c r="I96" s="26"/>
    </row>
    <row r="97" spans="1:9" x14ac:dyDescent="0.2">
      <c r="A97" s="112" t="s">
        <v>54</v>
      </c>
      <c r="B97" s="199">
        <f>'Design Converter'!E22</f>
        <v>3</v>
      </c>
      <c r="C97" s="115" t="s">
        <v>259</v>
      </c>
      <c r="D97" s="79" t="s">
        <v>108</v>
      </c>
      <c r="F97" s="8"/>
      <c r="G97" s="8"/>
      <c r="H97" s="8"/>
      <c r="I97" s="26"/>
    </row>
    <row r="98" spans="1:9" x14ac:dyDescent="0.2">
      <c r="A98" s="112" t="s">
        <v>451</v>
      </c>
      <c r="B98" s="198">
        <f>CHOOSE(MODE, 'Calculations - Single'!AT105, 'Calculations - Dual'!AR105)</f>
        <v>1.4522187281621242</v>
      </c>
      <c r="C98" s="207" t="s">
        <v>248</v>
      </c>
      <c r="D98" s="79"/>
      <c r="F98" s="8"/>
      <c r="G98" s="8"/>
      <c r="H98" s="8"/>
      <c r="I98" s="26"/>
    </row>
    <row r="99" spans="1:9" x14ac:dyDescent="0.2">
      <c r="A99" s="35" t="s">
        <v>450</v>
      </c>
      <c r="B99" s="609">
        <f>Iout*B98/Cout*1000+Iout*CoutEsr</f>
        <v>17.522187281621243</v>
      </c>
      <c r="C99" s="79" t="s">
        <v>456</v>
      </c>
      <c r="D99" s="79" t="s">
        <v>619</v>
      </c>
      <c r="F99" s="8"/>
      <c r="G99" s="8"/>
      <c r="H99" s="456" t="s">
        <v>584</v>
      </c>
      <c r="I99" s="26"/>
    </row>
    <row r="100" spans="1:9" x14ac:dyDescent="0.2">
      <c r="A100" s="35"/>
      <c r="B100" s="198"/>
      <c r="C100" s="79"/>
      <c r="D100" s="79"/>
      <c r="F100" s="8"/>
      <c r="G100" s="8"/>
      <c r="H100" s="8"/>
      <c r="I100" s="26"/>
    </row>
    <row r="101" spans="1:9" x14ac:dyDescent="0.2">
      <c r="A101" s="35"/>
      <c r="B101" s="198"/>
      <c r="C101" s="79"/>
      <c r="D101" s="79"/>
      <c r="F101" s="8"/>
      <c r="G101" s="8"/>
      <c r="H101" s="8"/>
      <c r="I101" s="26"/>
    </row>
    <row r="102" spans="1:9" ht="15.75" x14ac:dyDescent="0.25">
      <c r="A102" s="666" t="s">
        <v>582</v>
      </c>
      <c r="B102" s="198"/>
      <c r="C102" s="207"/>
      <c r="D102" s="79"/>
      <c r="F102" s="8"/>
      <c r="G102" s="8"/>
      <c r="H102" s="8"/>
      <c r="I102" s="26"/>
    </row>
    <row r="103" spans="1:9" x14ac:dyDescent="0.2">
      <c r="A103" s="112" t="s">
        <v>563</v>
      </c>
      <c r="B103" s="568">
        <f>Vout_ripple2</f>
        <v>33</v>
      </c>
      <c r="C103" s="113" t="s">
        <v>149</v>
      </c>
      <c r="D103" s="79" t="s">
        <v>620</v>
      </c>
      <c r="F103" s="8"/>
      <c r="G103" s="8"/>
      <c r="H103" s="8"/>
      <c r="I103" s="26"/>
    </row>
    <row r="104" spans="1:9" x14ac:dyDescent="0.2">
      <c r="A104" s="511" t="s">
        <v>565</v>
      </c>
      <c r="B104" s="198">
        <f>MAX(4.7, 'Calculations - Dual'!AX105)</f>
        <v>28.409090909090907</v>
      </c>
      <c r="C104" s="207" t="s">
        <v>97</v>
      </c>
      <c r="D104" s="79" t="s">
        <v>616</v>
      </c>
      <c r="F104" s="8"/>
      <c r="G104" s="8"/>
      <c r="H104" s="8"/>
      <c r="I104" s="26"/>
    </row>
    <row r="105" spans="1:9" x14ac:dyDescent="0.2">
      <c r="A105" s="112" t="s">
        <v>564</v>
      </c>
      <c r="B105" s="612">
        <f>'Design Converter'!L21</f>
        <v>47</v>
      </c>
      <c r="C105" s="207" t="s">
        <v>97</v>
      </c>
      <c r="D105" s="79" t="s">
        <v>168</v>
      </c>
      <c r="F105" s="8"/>
      <c r="G105" s="8"/>
      <c r="H105" s="8"/>
      <c r="I105" s="26"/>
    </row>
    <row r="106" spans="1:9" x14ac:dyDescent="0.2">
      <c r="A106" s="206" t="s">
        <v>566</v>
      </c>
      <c r="B106" s="569">
        <f>(Vout_ripple2-Iout2*B108/Cout2*1000)/Iout2</f>
        <v>-35.817823249152539</v>
      </c>
      <c r="C106" s="115" t="s">
        <v>259</v>
      </c>
      <c r="D106" s="79" t="s">
        <v>107</v>
      </c>
      <c r="F106" s="8"/>
      <c r="G106" s="8"/>
      <c r="H106" s="456" t="s">
        <v>583</v>
      </c>
      <c r="I106" s="26"/>
    </row>
    <row r="107" spans="1:9" x14ac:dyDescent="0.2">
      <c r="A107" s="112" t="s">
        <v>567</v>
      </c>
      <c r="B107" s="199">
        <f>'Design Converter'!L22</f>
        <v>3</v>
      </c>
      <c r="C107" s="115" t="s">
        <v>259</v>
      </c>
      <c r="D107" s="79" t="s">
        <v>108</v>
      </c>
      <c r="F107" s="8"/>
      <c r="G107" s="8"/>
      <c r="I107" s="26"/>
    </row>
    <row r="108" spans="1:9" x14ac:dyDescent="0.2">
      <c r="A108" s="112" t="s">
        <v>451</v>
      </c>
      <c r="B108" s="198">
        <f>'Calculations - Dual'!AR105</f>
        <v>4.7854376927101692</v>
      </c>
      <c r="C108" s="207" t="s">
        <v>248</v>
      </c>
      <c r="D108" s="79"/>
      <c r="F108" s="8"/>
      <c r="G108" s="8"/>
      <c r="H108" s="456" t="s">
        <v>583</v>
      </c>
      <c r="I108" s="26"/>
    </row>
    <row r="109" spans="1:9" x14ac:dyDescent="0.2">
      <c r="A109" s="35" t="s">
        <v>450</v>
      </c>
      <c r="B109" s="609">
        <f>Iout2*B108/Cout2*1000+Iout2*CoutEsr2</f>
        <v>52.40891162457627</v>
      </c>
      <c r="C109" s="79" t="s">
        <v>456</v>
      </c>
      <c r="D109" s="79" t="s">
        <v>618</v>
      </c>
      <c r="F109" s="8"/>
      <c r="G109" s="8"/>
      <c r="H109" s="8"/>
      <c r="I109" s="26"/>
    </row>
    <row r="110" spans="1:9" x14ac:dyDescent="0.2">
      <c r="A110" s="41"/>
      <c r="B110" s="198"/>
      <c r="C110" s="79"/>
      <c r="D110" s="79"/>
      <c r="F110" s="8"/>
      <c r="G110" s="8"/>
      <c r="H110" s="8"/>
      <c r="I110" s="26"/>
    </row>
    <row r="111" spans="1:9" ht="13.5" thickBot="1" x14ac:dyDescent="0.25">
      <c r="A111" s="30"/>
      <c r="B111" s="30"/>
      <c r="C111" s="30"/>
      <c r="D111" s="30"/>
      <c r="E111" s="30"/>
      <c r="F111" s="30"/>
      <c r="G111" s="30"/>
      <c r="H111" s="30"/>
      <c r="I111" s="31"/>
    </row>
    <row r="113" spans="1:9" ht="13.5" thickBot="1" x14ac:dyDescent="0.25">
      <c r="A113" s="8"/>
      <c r="B113" s="8"/>
      <c r="C113" s="41"/>
      <c r="D113" s="8"/>
      <c r="E113" s="8"/>
      <c r="F113" s="8"/>
      <c r="G113" s="8"/>
      <c r="H113" s="8"/>
      <c r="I113" s="8"/>
    </row>
    <row r="114" spans="1:9" ht="15.75" x14ac:dyDescent="0.25">
      <c r="A114" s="63" t="s">
        <v>55</v>
      </c>
      <c r="B114" s="64"/>
      <c r="C114" s="174"/>
      <c r="D114" s="64"/>
      <c r="E114" s="64"/>
      <c r="F114" s="64"/>
      <c r="G114" s="64"/>
      <c r="H114" s="64"/>
      <c r="I114" s="65"/>
    </row>
    <row r="115" spans="1:9" x14ac:dyDescent="0.2">
      <c r="A115" s="571" t="s">
        <v>524</v>
      </c>
      <c r="B115" s="574">
        <f>0.05*VIN_nom</f>
        <v>1.2000000000000002</v>
      </c>
      <c r="C115" s="113" t="s">
        <v>457</v>
      </c>
      <c r="D115" s="78" t="s">
        <v>452</v>
      </c>
      <c r="E115" s="8"/>
      <c r="F115" s="8"/>
      <c r="G115" s="8"/>
      <c r="H115" s="8"/>
      <c r="I115" s="67"/>
    </row>
    <row r="116" spans="1:9" x14ac:dyDescent="0.2">
      <c r="A116" s="66"/>
      <c r="B116" s="13"/>
      <c r="C116" s="62"/>
      <c r="E116" s="8"/>
      <c r="F116" s="8"/>
      <c r="G116" s="8"/>
      <c r="H116" s="8"/>
      <c r="I116" s="67"/>
    </row>
    <row r="117" spans="1:9" x14ac:dyDescent="0.2">
      <c r="A117" s="68" t="s">
        <v>58</v>
      </c>
      <c r="B117" s="428"/>
      <c r="C117" s="207" t="s">
        <v>30</v>
      </c>
      <c r="E117" s="8"/>
      <c r="F117" s="8"/>
      <c r="G117" s="8"/>
      <c r="H117" s="8"/>
      <c r="I117" s="67"/>
    </row>
    <row r="118" spans="1:9" x14ac:dyDescent="0.2">
      <c r="A118" s="68" t="s">
        <v>98</v>
      </c>
      <c r="B118" s="191">
        <f>'Calculations - Single'!BB105</f>
        <v>0.42284495928317162</v>
      </c>
      <c r="C118" s="207" t="s">
        <v>97</v>
      </c>
      <c r="E118" s="8"/>
      <c r="F118" s="8"/>
      <c r="G118" s="8"/>
      <c r="H118" s="8"/>
      <c r="I118" s="67"/>
    </row>
    <row r="119" spans="1:9" x14ac:dyDescent="0.2">
      <c r="A119" s="206" t="s">
        <v>181</v>
      </c>
      <c r="B119" s="618">
        <f>MAX(2.2,Cinmin)</f>
        <v>2.2000000000000002</v>
      </c>
      <c r="C119" s="207" t="s">
        <v>97</v>
      </c>
      <c r="E119" s="8"/>
      <c r="F119" s="8"/>
      <c r="G119" s="8"/>
      <c r="H119" s="8"/>
      <c r="I119" s="67"/>
    </row>
    <row r="120" spans="1:9" x14ac:dyDescent="0.2">
      <c r="A120" s="68" t="s">
        <v>28</v>
      </c>
      <c r="B120" s="572">
        <f>'Design Converter'!E17</f>
        <v>4.7</v>
      </c>
      <c r="C120" s="207" t="s">
        <v>97</v>
      </c>
      <c r="D120" s="8" t="s">
        <v>60</v>
      </c>
      <c r="F120" s="8"/>
      <c r="G120" s="8"/>
      <c r="H120" s="8"/>
      <c r="I120" s="67"/>
    </row>
    <row r="121" spans="1:9" x14ac:dyDescent="0.2">
      <c r="A121" s="68"/>
      <c r="B121" s="570"/>
      <c r="C121" s="60"/>
      <c r="D121" s="8"/>
      <c r="F121" s="8"/>
      <c r="G121" s="8"/>
      <c r="H121" s="8"/>
      <c r="I121" s="67"/>
    </row>
    <row r="122" spans="1:9" x14ac:dyDescent="0.2">
      <c r="A122" s="69" t="s">
        <v>99</v>
      </c>
      <c r="B122" s="427">
        <f>(Vinripple1-B125*B127/Cin)/B126</f>
        <v>0.93997512537756389</v>
      </c>
      <c r="C122" s="115" t="s">
        <v>45</v>
      </c>
      <c r="D122" s="8"/>
      <c r="F122" s="8"/>
      <c r="G122" s="8"/>
      <c r="H122" s="8"/>
      <c r="I122" s="67"/>
    </row>
    <row r="123" spans="1:9" x14ac:dyDescent="0.2">
      <c r="A123" s="68" t="s">
        <v>37</v>
      </c>
      <c r="B123" s="61">
        <f>'Design Converter'!E18/1000</f>
        <v>3.0000000000000001E-3</v>
      </c>
      <c r="C123" s="115" t="s">
        <v>45</v>
      </c>
      <c r="D123" s="79" t="s">
        <v>109</v>
      </c>
      <c r="F123" s="8"/>
      <c r="G123" s="8"/>
      <c r="H123" s="8"/>
      <c r="I123" s="67"/>
    </row>
    <row r="124" spans="1:9" x14ac:dyDescent="0.2">
      <c r="A124" s="206" t="s">
        <v>183</v>
      </c>
      <c r="B124" s="375">
        <f>'Design Converter'!E18</f>
        <v>3</v>
      </c>
      <c r="C124" s="18" t="s">
        <v>162</v>
      </c>
      <c r="D124" s="79"/>
      <c r="F124" s="8"/>
      <c r="G124" s="8"/>
      <c r="H124" s="8"/>
      <c r="I124" s="67"/>
    </row>
    <row r="125" spans="1:9" x14ac:dyDescent="0.2">
      <c r="A125" s="206" t="s">
        <v>454</v>
      </c>
      <c r="B125" s="433">
        <f>Vout*Iout/VIN_nom/Efficiency</f>
        <v>0.23148148148148148</v>
      </c>
      <c r="C125" s="79" t="s">
        <v>1</v>
      </c>
      <c r="D125" s="79"/>
      <c r="F125" s="8"/>
      <c r="G125" s="8"/>
      <c r="H125" s="8"/>
      <c r="I125" s="67"/>
    </row>
    <row r="126" spans="1:9" x14ac:dyDescent="0.2">
      <c r="A126" s="206" t="s">
        <v>458</v>
      </c>
      <c r="B126" s="433">
        <f>CHOOSE(MODE, 'Calculations - Single'!AJ105, 'Calculations - Dual'!$AI$105)</f>
        <v>1.1617749825296995</v>
      </c>
      <c r="C126" s="79" t="s">
        <v>1</v>
      </c>
      <c r="D126" s="79"/>
      <c r="F126" s="8"/>
      <c r="G126" s="8"/>
      <c r="H126" s="8"/>
      <c r="I126" s="67"/>
    </row>
    <row r="127" spans="1:9" x14ac:dyDescent="0.2">
      <c r="A127" s="206" t="s">
        <v>455</v>
      </c>
      <c r="B127" s="433">
        <f>CHOOSE(MODE, 'Calculations - Single'!AU105, 'Calculations - Dual'!$AT$105)</f>
        <v>2.1920282689239619</v>
      </c>
      <c r="C127" s="207" t="s">
        <v>248</v>
      </c>
      <c r="D127" s="79"/>
      <c r="F127" s="8"/>
      <c r="G127" s="8"/>
      <c r="H127" s="8"/>
      <c r="I127" s="67"/>
    </row>
    <row r="128" spans="1:9" x14ac:dyDescent="0.2">
      <c r="A128" s="206" t="s">
        <v>453</v>
      </c>
      <c r="B128" s="191">
        <f>B125*B127/Cin+B126*RCinEsr</f>
        <v>0.11144574008371803</v>
      </c>
      <c r="C128" s="207" t="s">
        <v>457</v>
      </c>
      <c r="D128" s="78" t="s">
        <v>459</v>
      </c>
      <c r="E128" s="573"/>
      <c r="F128" s="207"/>
      <c r="G128" s="8"/>
      <c r="H128" s="8"/>
      <c r="I128" s="67"/>
    </row>
    <row r="129" spans="1:9" ht="13.5" thickBot="1" x14ac:dyDescent="0.25">
      <c r="A129" s="70"/>
      <c r="B129" s="71"/>
      <c r="C129" s="71"/>
      <c r="D129" s="71"/>
      <c r="E129" s="72"/>
      <c r="F129" s="72"/>
      <c r="G129" s="72"/>
      <c r="H129" s="72"/>
      <c r="I129" s="73"/>
    </row>
    <row r="130" spans="1:9" x14ac:dyDescent="0.2">
      <c r="A130" s="8"/>
      <c r="B130" s="8"/>
      <c r="C130" s="41"/>
      <c r="D130" s="8"/>
      <c r="E130" s="8"/>
      <c r="F130" s="8"/>
      <c r="G130" s="8"/>
      <c r="H130" s="8"/>
      <c r="I130" s="8"/>
    </row>
    <row r="131" spans="1:9" ht="16.5" thickBot="1" x14ac:dyDescent="0.3">
      <c r="A131" s="52" t="s">
        <v>62</v>
      </c>
      <c r="B131" s="8"/>
      <c r="C131" s="41"/>
      <c r="D131" s="8"/>
      <c r="E131" s="8"/>
      <c r="F131" s="8"/>
      <c r="G131" s="8"/>
      <c r="H131" s="8"/>
      <c r="I131" s="8"/>
    </row>
    <row r="132" spans="1:9" x14ac:dyDescent="0.2">
      <c r="A132" s="54" t="s">
        <v>64</v>
      </c>
      <c r="B132" s="10">
        <f>'Design Converter'!E29/1000</f>
        <v>8.9999999999999993E-3</v>
      </c>
      <c r="C132" s="32" t="s">
        <v>51</v>
      </c>
      <c r="D132" s="81" t="s">
        <v>177</v>
      </c>
      <c r="E132" s="32"/>
      <c r="F132" s="32"/>
      <c r="G132" s="32"/>
      <c r="H132" s="32"/>
      <c r="I132" s="33"/>
    </row>
    <row r="133" spans="1:9" x14ac:dyDescent="0.2">
      <c r="A133" s="25" t="s">
        <v>65</v>
      </c>
      <c r="B133" s="201">
        <v>5.0000000000000004E-6</v>
      </c>
      <c r="C133" s="8" t="s">
        <v>1</v>
      </c>
      <c r="D133" s="79" t="s">
        <v>310</v>
      </c>
      <c r="E133" s="8"/>
      <c r="F133" s="8"/>
      <c r="G133" s="8"/>
      <c r="H133" s="8"/>
      <c r="I133" s="26"/>
    </row>
    <row r="134" spans="1:9" x14ac:dyDescent="0.2">
      <c r="A134" s="25" t="s">
        <v>66</v>
      </c>
      <c r="B134" s="201">
        <f>0.000005*Tss/1</f>
        <v>4.4999999999999999E-8</v>
      </c>
      <c r="C134" s="8" t="s">
        <v>13</v>
      </c>
      <c r="D134" s="79" t="s">
        <v>312</v>
      </c>
      <c r="E134" s="8"/>
      <c r="F134" s="8"/>
      <c r="G134" s="8"/>
      <c r="H134" s="8"/>
      <c r="I134" s="26"/>
    </row>
    <row r="135" spans="1:9" ht="13.5" thickBot="1" x14ac:dyDescent="0.25">
      <c r="A135" s="29" t="s">
        <v>72</v>
      </c>
      <c r="B135" s="202">
        <f>'Standard Value Calculator'!B4</f>
        <v>4.6999999999999997E-8</v>
      </c>
      <c r="C135" s="30" t="s">
        <v>13</v>
      </c>
      <c r="D135" s="82" t="s">
        <v>313</v>
      </c>
      <c r="E135" s="30"/>
      <c r="F135" s="30"/>
      <c r="G135" s="30"/>
      <c r="H135" s="30"/>
      <c r="I135" s="31"/>
    </row>
    <row r="137" spans="1:9" ht="16.5" thickBot="1" x14ac:dyDescent="0.3">
      <c r="A137" s="52" t="s">
        <v>578</v>
      </c>
      <c r="B137" s="8"/>
      <c r="C137" s="41"/>
      <c r="D137" s="8"/>
      <c r="E137" s="8"/>
      <c r="F137" s="8"/>
      <c r="G137" s="8"/>
      <c r="H137" s="8"/>
      <c r="I137" s="8"/>
    </row>
    <row r="138" spans="1:9" ht="12.75" customHeight="1" x14ac:dyDescent="0.2">
      <c r="A138" s="111"/>
      <c r="B138" s="55"/>
      <c r="C138" s="161"/>
      <c r="D138" s="81"/>
      <c r="E138" s="32"/>
      <c r="F138" s="32"/>
      <c r="G138" s="32"/>
      <c r="H138" s="32"/>
      <c r="I138" s="33"/>
    </row>
    <row r="139" spans="1:9" ht="12.75" customHeight="1" x14ac:dyDescent="0.2">
      <c r="A139" s="112" t="s">
        <v>111</v>
      </c>
      <c r="B139" s="192">
        <v>1.5</v>
      </c>
      <c r="C139" s="79" t="s">
        <v>0</v>
      </c>
      <c r="D139" s="79"/>
      <c r="E139" s="8"/>
      <c r="F139" s="8"/>
      <c r="G139" s="8"/>
      <c r="H139" s="8"/>
      <c r="I139" s="26"/>
    </row>
    <row r="140" spans="1:9" ht="12.75" customHeight="1" x14ac:dyDescent="0.2">
      <c r="A140" s="112" t="s">
        <v>112</v>
      </c>
      <c r="B140" s="192">
        <v>1.45</v>
      </c>
      <c r="C140" s="79" t="s">
        <v>0</v>
      </c>
      <c r="D140" s="79"/>
      <c r="E140" s="8"/>
      <c r="F140" s="8"/>
      <c r="G140" s="8"/>
      <c r="H140" s="8"/>
      <c r="I140" s="26"/>
    </row>
    <row r="141" spans="1:9" ht="12.75" customHeight="1" x14ac:dyDescent="0.2">
      <c r="A141" s="112" t="s">
        <v>148</v>
      </c>
      <c r="B141" s="38">
        <f>B139-B140</f>
        <v>5.0000000000000044E-2</v>
      </c>
      <c r="C141" s="79" t="s">
        <v>0</v>
      </c>
      <c r="D141" s="79"/>
      <c r="E141" s="8"/>
      <c r="F141" s="8"/>
      <c r="G141" s="8"/>
      <c r="H141" s="8"/>
      <c r="I141" s="26"/>
    </row>
    <row r="142" spans="1:9" ht="12.75" customHeight="1" x14ac:dyDescent="0.2">
      <c r="A142" s="112" t="s">
        <v>383</v>
      </c>
      <c r="B142" s="8">
        <v>0</v>
      </c>
      <c r="C142" s="113" t="s">
        <v>1</v>
      </c>
      <c r="D142" s="79"/>
      <c r="E142" s="8"/>
      <c r="F142" s="8"/>
      <c r="G142" s="8"/>
      <c r="H142" s="8"/>
      <c r="I142" s="26"/>
    </row>
    <row r="143" spans="1:9" ht="12.75" customHeight="1" x14ac:dyDescent="0.2">
      <c r="A143" s="112" t="s">
        <v>382</v>
      </c>
      <c r="B143" s="537">
        <v>5.0000000000000001E-3</v>
      </c>
      <c r="C143" s="113" t="s">
        <v>30</v>
      </c>
      <c r="D143" s="79"/>
      <c r="E143" s="8"/>
      <c r="F143" s="8"/>
      <c r="G143" s="8"/>
      <c r="H143" s="8"/>
      <c r="I143" s="26"/>
    </row>
    <row r="144" spans="1:9" ht="12.75" customHeight="1" x14ac:dyDescent="0.2">
      <c r="A144" s="112" t="s">
        <v>381</v>
      </c>
      <c r="B144" s="538">
        <f>Iuvlo2-Iuvlo1</f>
        <v>5.0000000000000001E-3</v>
      </c>
      <c r="C144" s="113" t="s">
        <v>30</v>
      </c>
      <c r="D144" s="79"/>
      <c r="F144" s="8"/>
      <c r="G144" s="8"/>
      <c r="H144" s="8"/>
      <c r="I144" s="26"/>
    </row>
    <row r="145" spans="1:9" ht="12.75" customHeight="1" x14ac:dyDescent="0.2">
      <c r="A145" s="112"/>
      <c r="B145" s="38"/>
      <c r="C145" s="384"/>
      <c r="D145" s="79"/>
      <c r="E145" s="8"/>
      <c r="F145" s="8"/>
      <c r="G145" s="8"/>
      <c r="H145" s="8"/>
      <c r="I145" s="26"/>
    </row>
    <row r="146" spans="1:9" ht="12.75" customHeight="1" x14ac:dyDescent="0.3">
      <c r="A146" s="112" t="s">
        <v>110</v>
      </c>
      <c r="B146" s="190">
        <f>'Design Converter'!E35</f>
        <v>11</v>
      </c>
      <c r="C146" s="113" t="s">
        <v>0</v>
      </c>
      <c r="E146" s="8"/>
      <c r="F146" s="8"/>
      <c r="G146" s="8"/>
      <c r="H146" s="8"/>
      <c r="I146" s="26"/>
    </row>
    <row r="147" spans="1:9" ht="12.75" customHeight="1" x14ac:dyDescent="0.3">
      <c r="A147" s="112" t="s">
        <v>296</v>
      </c>
      <c r="B147" s="190">
        <f>'Design Converter'!E36</f>
        <v>10</v>
      </c>
      <c r="C147" s="113" t="s">
        <v>0</v>
      </c>
      <c r="E147" s="8"/>
      <c r="F147" s="8"/>
      <c r="G147" s="8"/>
      <c r="H147" s="8"/>
      <c r="I147" s="26"/>
    </row>
    <row r="148" spans="1:9" ht="12.75" customHeight="1" x14ac:dyDescent="0.2">
      <c r="A148" s="112"/>
      <c r="B148" s="38"/>
      <c r="C148" s="113"/>
      <c r="E148" s="8"/>
      <c r="F148" s="8"/>
      <c r="G148" s="8"/>
      <c r="H148" s="8"/>
      <c r="I148" s="26"/>
    </row>
    <row r="149" spans="1:9" ht="12.75" customHeight="1" x14ac:dyDescent="0.3">
      <c r="A149" s="112" t="s">
        <v>126</v>
      </c>
      <c r="B149" s="610">
        <f>(VINuvlo_off-VINuvlo_on*Vuvlo_off/Vuvlo_on)/(Iuvlo1*Vuvlo_off/Vuvlo_on-Iuvlo2)</f>
        <v>126.66666666666657</v>
      </c>
      <c r="C149" s="18" t="s">
        <v>113</v>
      </c>
      <c r="D149" s="8">
        <f>'Standard Value Calculator'!J16</f>
        <v>127</v>
      </c>
      <c r="E149" s="18" t="s">
        <v>113</v>
      </c>
      <c r="F149" s="38">
        <f>IF(Ruvlo1&lt;0,"N/A",D149)</f>
        <v>127</v>
      </c>
      <c r="G149" s="38" t="str">
        <f>IF(Ruvlo1&lt;0,"N/A",D149&amp;"kΩ")</f>
        <v>127kΩ</v>
      </c>
      <c r="I149" s="26"/>
    </row>
    <row r="150" spans="1:9" ht="12.75" customHeight="1" x14ac:dyDescent="0.3">
      <c r="A150" s="112" t="s">
        <v>127</v>
      </c>
      <c r="B150" s="193">
        <f>D149*Vuvlo_on/(VINuvlo_on-Vuvlo_on+Ruvlo1*Iuvlo1)</f>
        <v>20.05263157894737</v>
      </c>
      <c r="C150" s="18" t="s">
        <v>113</v>
      </c>
      <c r="D150" s="8">
        <f>'Standard Value Calculator'!J17</f>
        <v>20</v>
      </c>
      <c r="E150" s="18" t="s">
        <v>113</v>
      </c>
      <c r="F150" s="38">
        <f>IF(F149="N/A","N/A",D150)</f>
        <v>20</v>
      </c>
      <c r="G150" s="38" t="str">
        <f>IF(G149="N/A","N/A",D150&amp;"kΩ")</f>
        <v>20kΩ</v>
      </c>
      <c r="I150" s="26"/>
    </row>
    <row r="151" spans="1:9" ht="12.75" customHeight="1" x14ac:dyDescent="0.2">
      <c r="A151" s="112"/>
      <c r="B151" s="114"/>
      <c r="C151" s="18"/>
      <c r="D151" s="38"/>
      <c r="E151" s="18"/>
      <c r="F151" s="38"/>
      <c r="G151" s="38"/>
      <c r="I151" s="26"/>
    </row>
    <row r="152" spans="1:9" ht="12.75" customHeight="1" x14ac:dyDescent="0.3">
      <c r="A152" s="112" t="s">
        <v>114</v>
      </c>
      <c r="B152" s="611">
        <f>(D149+D150)/D150*Vuvlo_on</f>
        <v>11.024999999999999</v>
      </c>
      <c r="C152" s="4" t="s">
        <v>0</v>
      </c>
      <c r="E152" s="8"/>
      <c r="F152" s="18"/>
      <c r="G152" s="8"/>
      <c r="H152" s="8"/>
      <c r="I152" s="26"/>
    </row>
    <row r="153" spans="1:9" ht="12.75" customHeight="1" x14ac:dyDescent="0.3">
      <c r="A153" s="112" t="s">
        <v>115</v>
      </c>
      <c r="B153" s="611">
        <f>(D149+D150)/D150*Vuvlo_off-Iuvlo2*D149</f>
        <v>10.022499999999999</v>
      </c>
      <c r="C153" s="4" t="s">
        <v>0</v>
      </c>
      <c r="E153" s="8"/>
      <c r="F153" s="18"/>
      <c r="G153" s="8"/>
      <c r="H153" s="8"/>
      <c r="I153" s="26"/>
    </row>
    <row r="154" spans="1:9" ht="12.75" customHeight="1" thickBot="1" x14ac:dyDescent="0.25">
      <c r="A154" s="29"/>
      <c r="B154" s="39"/>
      <c r="C154" s="162"/>
      <c r="D154" s="30"/>
      <c r="E154" s="30"/>
      <c r="F154" s="30"/>
      <c r="G154" s="30"/>
      <c r="H154" s="30"/>
      <c r="I154" s="31"/>
    </row>
    <row r="155" spans="1:9" x14ac:dyDescent="0.2">
      <c r="B155" s="17"/>
      <c r="C155" s="163"/>
    </row>
    <row r="156" spans="1:9" ht="16.5" thickBot="1" x14ac:dyDescent="0.3">
      <c r="A156" s="52" t="s">
        <v>535</v>
      </c>
      <c r="B156" s="8"/>
      <c r="C156" s="41"/>
      <c r="D156" s="8"/>
      <c r="E156" s="8"/>
      <c r="F156" s="8"/>
      <c r="G156" s="8"/>
      <c r="H156" s="8"/>
      <c r="I156" s="8"/>
    </row>
    <row r="157" spans="1:9" x14ac:dyDescent="0.2">
      <c r="A157" s="181" t="s">
        <v>16</v>
      </c>
      <c r="B157" s="182">
        <v>3.1415926500000002</v>
      </c>
      <c r="C157" s="183"/>
      <c r="D157" s="184" t="s">
        <v>171</v>
      </c>
      <c r="E157" s="32"/>
      <c r="F157" s="32"/>
      <c r="G157" s="32"/>
      <c r="H157" s="32"/>
      <c r="I157" s="33"/>
    </row>
    <row r="158" spans="1:9" x14ac:dyDescent="0.2">
      <c r="A158" s="78" t="s">
        <v>186</v>
      </c>
      <c r="B158" s="210"/>
      <c r="C158" s="185" t="s">
        <v>185</v>
      </c>
      <c r="D158" s="187" t="s">
        <v>570</v>
      </c>
      <c r="I158" s="26"/>
    </row>
    <row r="159" spans="1:9" x14ac:dyDescent="0.2">
      <c r="A159" s="78" t="s">
        <v>187</v>
      </c>
      <c r="B159" s="210"/>
      <c r="C159" s="185" t="s">
        <v>185</v>
      </c>
      <c r="D159" s="187"/>
      <c r="I159" s="26"/>
    </row>
    <row r="160" spans="1:9" x14ac:dyDescent="0.2">
      <c r="C160" s="8"/>
      <c r="D160" s="8"/>
      <c r="F160" s="8"/>
      <c r="G160" s="8"/>
      <c r="H160" s="8"/>
      <c r="I160" s="26"/>
    </row>
    <row r="161" spans="1:9" x14ac:dyDescent="0.2">
      <c r="A161" s="112" t="s">
        <v>399</v>
      </c>
      <c r="B161" s="175">
        <f>(Vout+Vfwd1)*Nps*10</f>
        <v>159</v>
      </c>
      <c r="C161" s="18" t="s">
        <v>113</v>
      </c>
      <c r="D161" s="79" t="s">
        <v>537</v>
      </c>
      <c r="F161" s="8"/>
      <c r="G161" s="8"/>
      <c r="H161" s="8"/>
      <c r="I161" s="26">
        <v>1</v>
      </c>
    </row>
    <row r="162" spans="1:9" x14ac:dyDescent="0.2">
      <c r="A162" s="35" t="s">
        <v>536</v>
      </c>
      <c r="B162" s="180">
        <f>Rfb/1000</f>
        <v>158</v>
      </c>
      <c r="C162" s="18" t="s">
        <v>113</v>
      </c>
      <c r="D162" s="79" t="s">
        <v>534</v>
      </c>
      <c r="F162" s="8"/>
      <c r="G162" s="8"/>
      <c r="H162" s="8"/>
      <c r="I162" s="26"/>
    </row>
    <row r="163" spans="1:9" x14ac:dyDescent="0.2">
      <c r="A163" s="112" t="s">
        <v>53</v>
      </c>
      <c r="B163" s="37">
        <f>'Standard Value Calculator'!J10/1000</f>
        <v>158</v>
      </c>
      <c r="C163" s="18" t="s">
        <v>113</v>
      </c>
      <c r="D163" s="79" t="s">
        <v>365</v>
      </c>
      <c r="F163" s="8"/>
      <c r="G163" s="8"/>
      <c r="H163" s="8"/>
      <c r="I163" s="26"/>
    </row>
    <row r="164" spans="1:9" x14ac:dyDescent="0.2">
      <c r="A164" s="79"/>
      <c r="B164" s="13"/>
      <c r="C164" s="18"/>
      <c r="D164" s="79"/>
      <c r="F164" s="8"/>
      <c r="G164" s="8"/>
      <c r="H164" s="8"/>
      <c r="I164" s="26"/>
    </row>
    <row r="165" spans="1:9" x14ac:dyDescent="0.2">
      <c r="A165" s="113" t="s">
        <v>538</v>
      </c>
      <c r="B165" s="613">
        <f>'Design Converter'!E32</f>
        <v>-1</v>
      </c>
      <c r="C165" s="113" t="s">
        <v>392</v>
      </c>
      <c r="D165" s="79"/>
      <c r="F165" s="8"/>
      <c r="G165" s="8"/>
      <c r="H165" s="8"/>
      <c r="I165" s="26"/>
    </row>
    <row r="166" spans="1:9" ht="15.75" x14ac:dyDescent="0.3">
      <c r="A166" s="25" t="s">
        <v>533</v>
      </c>
      <c r="B166" s="377">
        <f>3*B162/Nps/ABS(Diode_TC)*1000</f>
        <v>158000</v>
      </c>
      <c r="C166" s="18" t="s">
        <v>136</v>
      </c>
      <c r="D166" s="79"/>
      <c r="F166" s="8"/>
      <c r="G166" s="8"/>
      <c r="H166" s="8"/>
      <c r="I166" s="26"/>
    </row>
    <row r="167" spans="1:9" x14ac:dyDescent="0.2">
      <c r="A167" s="13" t="s">
        <v>539</v>
      </c>
      <c r="B167" s="173">
        <f>'Standard Value Calculator'!J9/1000</f>
        <v>158</v>
      </c>
      <c r="C167" s="18" t="s">
        <v>113</v>
      </c>
      <c r="D167" s="79"/>
      <c r="F167" s="8"/>
      <c r="G167" s="8"/>
      <c r="H167" s="8"/>
      <c r="I167" s="26"/>
    </row>
    <row r="168" spans="1:9" ht="13.5" thickBot="1" x14ac:dyDescent="0.25">
      <c r="A168" s="186"/>
      <c r="B168" s="186"/>
      <c r="C168" s="42"/>
      <c r="D168" s="30"/>
      <c r="E168" s="42"/>
      <c r="F168" s="30"/>
      <c r="G168" s="30"/>
      <c r="H168" s="30"/>
      <c r="I168" s="31"/>
    </row>
    <row r="169" spans="1:9" x14ac:dyDescent="0.2">
      <c r="A169" s="3"/>
      <c r="B169" s="19"/>
      <c r="C169" s="19"/>
      <c r="E169" s="19"/>
    </row>
    <row r="170" spans="1:9" x14ac:dyDescent="0.2">
      <c r="A170" s="3"/>
      <c r="B170" s="19"/>
      <c r="C170" s="19"/>
      <c r="E170" s="19"/>
    </row>
    <row r="171" spans="1:9" ht="16.5" thickBot="1" x14ac:dyDescent="0.3">
      <c r="A171" s="56" t="s">
        <v>83</v>
      </c>
      <c r="B171" s="8"/>
      <c r="C171" s="41"/>
      <c r="D171" s="8"/>
      <c r="E171" s="8"/>
      <c r="F171" s="8"/>
      <c r="G171" s="8"/>
      <c r="H171" s="8"/>
      <c r="I171" s="8"/>
    </row>
    <row r="172" spans="1:9" x14ac:dyDescent="0.2">
      <c r="A172" s="54"/>
      <c r="B172" s="32"/>
      <c r="C172" s="164"/>
      <c r="D172" s="32"/>
      <c r="E172" s="32"/>
      <c r="F172" s="32"/>
      <c r="G172" s="32"/>
      <c r="H172" s="32"/>
      <c r="I172" s="33"/>
    </row>
    <row r="173" spans="1:9" x14ac:dyDescent="0.2">
      <c r="A173" s="35" t="s">
        <v>26</v>
      </c>
      <c r="B173" s="8"/>
      <c r="C173" s="41"/>
      <c r="D173" s="8"/>
      <c r="E173" s="8"/>
      <c r="F173" s="8"/>
      <c r="G173" s="8"/>
      <c r="H173" s="8"/>
      <c r="I173" s="26"/>
    </row>
    <row r="174" spans="1:9" x14ac:dyDescent="0.2">
      <c r="A174" s="25" t="s">
        <v>36</v>
      </c>
      <c r="B174" s="135">
        <f>'Design Converter'!E44</f>
        <v>55</v>
      </c>
      <c r="C174" s="79" t="s">
        <v>102</v>
      </c>
      <c r="D174" s="8" t="s">
        <v>40</v>
      </c>
      <c r="F174" s="8"/>
      <c r="G174" s="8"/>
      <c r="H174" s="8"/>
      <c r="I174" s="26"/>
    </row>
    <row r="175" spans="1:9" x14ac:dyDescent="0.2">
      <c r="A175" s="35" t="s">
        <v>29</v>
      </c>
      <c r="B175" s="8"/>
      <c r="C175" s="8"/>
      <c r="D175" s="8"/>
      <c r="F175" s="8"/>
      <c r="G175" s="8"/>
      <c r="H175" s="8"/>
      <c r="I175" s="26"/>
    </row>
    <row r="176" spans="1:9" x14ac:dyDescent="0.2">
      <c r="A176" s="25" t="s">
        <v>35</v>
      </c>
      <c r="B176" s="28">
        <f>4000/1000000</f>
        <v>4.0000000000000001E-3</v>
      </c>
      <c r="C176" s="79" t="s">
        <v>138</v>
      </c>
      <c r="D176" s="79" t="s">
        <v>571</v>
      </c>
      <c r="F176" s="8"/>
      <c r="G176" s="8"/>
      <c r="H176" s="8"/>
      <c r="I176" s="26"/>
    </row>
    <row r="177" spans="1:9" ht="15.75" x14ac:dyDescent="0.3">
      <c r="A177" s="112" t="s">
        <v>178</v>
      </c>
      <c r="B177" s="28">
        <v>20</v>
      </c>
      <c r="C177" s="113" t="s">
        <v>84</v>
      </c>
      <c r="D177" s="79" t="s">
        <v>572</v>
      </c>
      <c r="F177" s="8"/>
      <c r="G177" s="8"/>
      <c r="H177" s="8"/>
      <c r="I177" s="26"/>
    </row>
    <row r="178" spans="1:9" x14ac:dyDescent="0.2">
      <c r="A178" s="25" t="s">
        <v>37</v>
      </c>
      <c r="B178" s="11">
        <f>RCinEsr</f>
        <v>3.0000000000000001E-3</v>
      </c>
      <c r="C178" s="115" t="s">
        <v>45</v>
      </c>
      <c r="D178" s="79" t="s">
        <v>179</v>
      </c>
      <c r="F178" s="8"/>
      <c r="G178" s="8"/>
      <c r="H178" s="8"/>
      <c r="I178" s="26"/>
    </row>
    <row r="179" spans="1:9" x14ac:dyDescent="0.2">
      <c r="A179" s="25"/>
      <c r="B179" s="11"/>
      <c r="C179" s="115"/>
      <c r="D179" s="79"/>
      <c r="F179" s="8"/>
      <c r="G179" s="8"/>
      <c r="H179" s="8"/>
      <c r="I179" s="26"/>
    </row>
    <row r="180" spans="1:9" x14ac:dyDescent="0.2">
      <c r="A180" s="34" t="s">
        <v>52</v>
      </c>
      <c r="B180" s="8"/>
      <c r="C180" s="8"/>
      <c r="D180" s="8"/>
      <c r="F180" s="8"/>
      <c r="G180" s="8"/>
      <c r="H180" s="8"/>
      <c r="I180" s="26"/>
    </row>
    <row r="181" spans="1:9" x14ac:dyDescent="0.2">
      <c r="A181" s="112" t="s">
        <v>286</v>
      </c>
      <c r="B181" s="28">
        <f>Vdd</f>
        <v>5</v>
      </c>
      <c r="C181" s="62" t="s">
        <v>0</v>
      </c>
      <c r="D181" s="188"/>
      <c r="F181" s="8"/>
      <c r="G181" s="8"/>
      <c r="H181" s="8"/>
      <c r="I181" s="26"/>
    </row>
    <row r="182" spans="1:9" x14ac:dyDescent="0.2">
      <c r="A182" s="25" t="s">
        <v>49</v>
      </c>
      <c r="B182" s="36">
        <f>IQ</f>
        <v>2.9E-4</v>
      </c>
      <c r="C182" s="8" t="s">
        <v>1</v>
      </c>
      <c r="D182" s="8" t="s">
        <v>50</v>
      </c>
      <c r="F182" s="8"/>
      <c r="G182" s="8"/>
      <c r="H182" s="8"/>
      <c r="I182" s="26"/>
    </row>
    <row r="183" spans="1:9" x14ac:dyDescent="0.2">
      <c r="A183" s="25"/>
      <c r="B183" s="8"/>
      <c r="C183" s="8"/>
      <c r="D183" s="8"/>
      <c r="F183" s="8"/>
      <c r="G183" s="8"/>
      <c r="H183" s="8"/>
      <c r="I183" s="26"/>
    </row>
    <row r="184" spans="1:9" x14ac:dyDescent="0.2">
      <c r="A184" s="57" t="s">
        <v>173</v>
      </c>
      <c r="B184" s="44" t="s">
        <v>6</v>
      </c>
      <c r="C184" s="15" t="s">
        <v>33</v>
      </c>
      <c r="D184" s="8"/>
      <c r="F184" s="8"/>
      <c r="G184" s="8"/>
      <c r="H184" s="8"/>
      <c r="I184" s="26"/>
    </row>
    <row r="185" spans="1:9" x14ac:dyDescent="0.2">
      <c r="A185" s="58" t="s">
        <v>44</v>
      </c>
      <c r="B185" s="45"/>
      <c r="C185" s="46" t="s">
        <v>45</v>
      </c>
      <c r="D185" s="8"/>
      <c r="F185" s="8"/>
      <c r="G185" s="8"/>
      <c r="H185" s="8"/>
      <c r="I185" s="26"/>
    </row>
    <row r="186" spans="1:9" x14ac:dyDescent="0.2">
      <c r="A186" s="58" t="s">
        <v>46</v>
      </c>
      <c r="B186" s="14" t="e">
        <f>B185*ThetaJaCtrl</f>
        <v>#NAME?</v>
      </c>
      <c r="C186" s="113" t="s">
        <v>102</v>
      </c>
      <c r="D186" s="8"/>
      <c r="F186" s="8"/>
      <c r="G186" s="8"/>
      <c r="H186" s="8"/>
      <c r="I186" s="26"/>
    </row>
    <row r="187" spans="1:9" x14ac:dyDescent="0.2">
      <c r="A187" s="58" t="s">
        <v>87</v>
      </c>
      <c r="B187" s="14" t="e">
        <f>(Qg_Q1+Qg_Q2)*Fsw+IQ</f>
        <v>#NAME?</v>
      </c>
      <c r="C187" s="13" t="s">
        <v>1</v>
      </c>
      <c r="D187" s="8"/>
      <c r="F187" s="8"/>
      <c r="G187" s="8"/>
      <c r="H187" s="8"/>
      <c r="I187" s="26"/>
    </row>
    <row r="188" spans="1:9" x14ac:dyDescent="0.2">
      <c r="A188" s="58" t="s">
        <v>88</v>
      </c>
      <c r="B188" s="13" t="e">
        <f>Qrr_Q2*Fsw</f>
        <v>#NAME?</v>
      </c>
      <c r="C188" s="13" t="s">
        <v>1</v>
      </c>
      <c r="D188" s="8"/>
      <c r="F188" s="8"/>
      <c r="G188" s="8"/>
      <c r="H188" s="8"/>
      <c r="I188" s="26"/>
    </row>
    <row r="189" spans="1:9" x14ac:dyDescent="0.2">
      <c r="A189" s="58" t="s">
        <v>89</v>
      </c>
      <c r="B189" s="13" t="e">
        <f>C189/Vin</f>
        <v>#NAME?</v>
      </c>
      <c r="C189" s="13" t="e">
        <f>Deadtime*Fsw*(Ipp/2)*(Vsd_Q1+Vsd_Q2)</f>
        <v>#NAME?</v>
      </c>
      <c r="D189" s="8"/>
      <c r="F189" s="8"/>
      <c r="G189" s="8"/>
      <c r="H189" s="8"/>
      <c r="I189" s="26"/>
    </row>
    <row r="190" spans="1:9" x14ac:dyDescent="0.2">
      <c r="A190" s="58" t="s">
        <v>91</v>
      </c>
      <c r="B190" s="13" t="e">
        <f>SUM(B187:B189)</f>
        <v>#NAME?</v>
      </c>
      <c r="C190" s="13" t="s">
        <v>1</v>
      </c>
      <c r="D190" s="8"/>
      <c r="F190" s="8"/>
      <c r="G190" s="8"/>
      <c r="H190" s="8"/>
      <c r="I190" s="26"/>
    </row>
    <row r="191" spans="1:9" ht="13.5" thickBot="1" x14ac:dyDescent="0.25">
      <c r="A191" s="29"/>
      <c r="B191" s="30"/>
      <c r="C191" s="165"/>
      <c r="D191" s="30"/>
      <c r="E191" s="30"/>
      <c r="F191" s="30"/>
      <c r="G191" s="30"/>
      <c r="H191" s="30"/>
      <c r="I191" s="31"/>
    </row>
    <row r="192" spans="1:9" x14ac:dyDescent="0.2">
      <c r="A192" s="3"/>
      <c r="B192" s="3"/>
      <c r="C192" s="3"/>
    </row>
    <row r="193" spans="1:9" ht="21.75" customHeight="1" thickBot="1" x14ac:dyDescent="0.3">
      <c r="A193" s="52" t="s">
        <v>85</v>
      </c>
      <c r="B193" s="8"/>
      <c r="C193" s="41"/>
      <c r="D193" s="8"/>
      <c r="E193" s="8"/>
      <c r="F193" s="8"/>
      <c r="G193" s="8"/>
      <c r="H193" s="8"/>
      <c r="I193" s="8"/>
    </row>
    <row r="194" spans="1:9" x14ac:dyDescent="0.2">
      <c r="A194" s="54"/>
      <c r="B194" s="32"/>
      <c r="C194" s="164"/>
      <c r="D194" s="32"/>
      <c r="E194" s="59"/>
      <c r="F194" s="59"/>
      <c r="G194" s="59"/>
      <c r="H194" s="59"/>
      <c r="I194" s="33"/>
    </row>
    <row r="195" spans="1:9" x14ac:dyDescent="0.2">
      <c r="A195" s="25"/>
      <c r="B195" s="113"/>
      <c r="C195" s="41"/>
      <c r="D195" s="8"/>
      <c r="E195" s="205"/>
      <c r="F195" s="205"/>
      <c r="G195" s="205"/>
      <c r="H195" s="205"/>
      <c r="I195" s="26"/>
    </row>
    <row r="196" spans="1:9" x14ac:dyDescent="0.2">
      <c r="A196" s="25" t="str">
        <f>"RUV1 = "&amp;'Design Converter'!E37&amp;"MΩ"</f>
        <v>RUV1 = 127MΩ</v>
      </c>
      <c r="B196" s="8" t="str">
        <f>C237</f>
        <v>127kΩ</v>
      </c>
      <c r="C196" s="41"/>
      <c r="D196" s="8"/>
      <c r="E196" s="205"/>
      <c r="F196" s="205"/>
      <c r="G196" s="205"/>
      <c r="H196" s="205"/>
      <c r="I196" s="26"/>
    </row>
    <row r="197" spans="1:9" x14ac:dyDescent="0.2">
      <c r="A197" s="25" t="str">
        <f>"RUV2 = "&amp;'Design Converter'!E38&amp;"kΩ"</f>
        <v>RUV2 = 20kΩ</v>
      </c>
      <c r="B197" s="8" t="str">
        <f>C238</f>
        <v>20kΩ</v>
      </c>
      <c r="C197" s="41"/>
      <c r="D197" s="8"/>
      <c r="E197" s="205"/>
      <c r="F197" s="205"/>
      <c r="G197" s="205"/>
      <c r="H197" s="205"/>
      <c r="I197" s="26"/>
    </row>
    <row r="198" spans="1:9" x14ac:dyDescent="0.2">
      <c r="A198" s="25"/>
      <c r="B198" s="8"/>
      <c r="C198" s="41"/>
      <c r="D198" s="8"/>
      <c r="E198" s="205"/>
      <c r="F198" s="205"/>
      <c r="G198" s="205"/>
      <c r="H198" s="205"/>
      <c r="I198" s="26"/>
    </row>
    <row r="199" spans="1:9" x14ac:dyDescent="0.2">
      <c r="A199" s="25" t="str">
        <f>"Lmag = "&amp;'Design Converter'!L7&amp;"µH"</f>
        <v>Lmag = 30µH</v>
      </c>
      <c r="B199" s="8" t="str">
        <f>'Design Converter'!L7&amp;"µH"</f>
        <v>30µH</v>
      </c>
      <c r="C199" s="41"/>
      <c r="D199" s="8"/>
      <c r="E199" s="8"/>
      <c r="F199" s="8"/>
      <c r="G199" s="8"/>
      <c r="H199" s="8"/>
      <c r="I199" s="26"/>
    </row>
    <row r="200" spans="1:9" x14ac:dyDescent="0.2">
      <c r="A200" s="25" t="str">
        <f>"Rdcr = "&amp;Rdcr_pri*1000&amp;"mΩ"</f>
        <v>Rdcr = 200mΩ</v>
      </c>
      <c r="B200" s="204" t="str">
        <f>Rdcr_pri*1000&amp;"mΩ"</f>
        <v>200mΩ</v>
      </c>
      <c r="C200" s="41"/>
      <c r="D200" s="8"/>
      <c r="E200" s="8"/>
      <c r="F200" s="8"/>
      <c r="G200" s="8"/>
      <c r="H200" s="8"/>
      <c r="I200" s="26"/>
    </row>
    <row r="201" spans="1:9" x14ac:dyDescent="0.2">
      <c r="A201" s="112" t="s">
        <v>397</v>
      </c>
      <c r="B201" s="204" t="str">
        <f>W44</f>
        <v>3 : 1</v>
      </c>
      <c r="C201" s="41"/>
      <c r="D201" s="8"/>
      <c r="E201" s="8"/>
      <c r="F201" s="8"/>
      <c r="G201" s="8"/>
      <c r="H201" s="8"/>
      <c r="I201" s="26"/>
    </row>
    <row r="202" spans="1:9" x14ac:dyDescent="0.2">
      <c r="A202" s="25"/>
      <c r="B202" s="204"/>
      <c r="C202" s="41"/>
      <c r="D202" s="8"/>
      <c r="E202" s="8"/>
      <c r="F202" s="8"/>
      <c r="G202" s="8"/>
      <c r="H202" s="8"/>
      <c r="I202" s="26"/>
    </row>
    <row r="203" spans="1:9" x14ac:dyDescent="0.2">
      <c r="A203" s="25" t="str">
        <f>"Css = "&amp;ROUND(Css_u*1000000000,1)&amp;"nF"</f>
        <v>Css = 47nF</v>
      </c>
      <c r="B203" s="8" t="str">
        <f>ROUND(Css_u*1000000000,1)&amp;"nF"</f>
        <v>47nF</v>
      </c>
      <c r="C203" s="41"/>
      <c r="D203" s="8"/>
      <c r="E203" s="8"/>
      <c r="F203" s="8"/>
      <c r="G203" s="8"/>
      <c r="H203" s="8"/>
      <c r="I203" s="26"/>
    </row>
    <row r="204" spans="1:9" x14ac:dyDescent="0.2">
      <c r="A204" s="25"/>
      <c r="B204" s="8"/>
      <c r="C204" s="41"/>
      <c r="D204" s="8"/>
      <c r="E204" s="8"/>
      <c r="F204" s="8"/>
      <c r="G204" s="8"/>
      <c r="H204" s="8"/>
      <c r="I204" s="26"/>
    </row>
    <row r="205" spans="1:9" x14ac:dyDescent="0.2">
      <c r="A205" s="25" t="s">
        <v>57</v>
      </c>
      <c r="B205" s="8" t="str">
        <f>VIN_nom&amp;"V"</f>
        <v>24V</v>
      </c>
      <c r="C205" s="41"/>
      <c r="D205" s="8"/>
      <c r="E205" s="8"/>
      <c r="F205" s="8"/>
      <c r="G205" s="8"/>
      <c r="H205" s="8"/>
      <c r="I205" s="26"/>
    </row>
    <row r="206" spans="1:9" x14ac:dyDescent="0.2">
      <c r="A206" s="112" t="s">
        <v>188</v>
      </c>
      <c r="B206" s="8" t="str">
        <f>VIN_min&amp;"V..."&amp;VIN_max&amp;"V"</f>
        <v>12V...48V</v>
      </c>
      <c r="C206" s="41"/>
      <c r="D206" s="8"/>
      <c r="E206" s="8"/>
      <c r="F206" s="8"/>
      <c r="G206" s="8"/>
      <c r="H206" s="8"/>
      <c r="I206" s="26"/>
    </row>
    <row r="207" spans="1:9" x14ac:dyDescent="0.2">
      <c r="A207" s="112"/>
      <c r="B207" s="8"/>
      <c r="C207" s="41"/>
      <c r="D207" s="8"/>
      <c r="E207" s="8"/>
      <c r="F207" s="8"/>
      <c r="G207" s="8"/>
      <c r="H207" s="8"/>
      <c r="I207" s="26"/>
    </row>
    <row r="208" spans="1:9" x14ac:dyDescent="0.2">
      <c r="A208" s="25" t="str">
        <f>"VOUT = "&amp;'Design Converter'!E10&amp;"V"</f>
        <v>VOUT = 5V</v>
      </c>
      <c r="B208" s="8" t="str">
        <f>'Design Converter'!E10&amp;"V"</f>
        <v>5V</v>
      </c>
      <c r="C208" s="41"/>
      <c r="D208" s="8">
        <f>MODE</f>
        <v>1</v>
      </c>
      <c r="E208" s="8"/>
      <c r="F208" s="8"/>
      <c r="G208" s="8"/>
      <c r="H208" s="8"/>
      <c r="I208" s="26"/>
    </row>
    <row r="209" spans="1:9" x14ac:dyDescent="0.2">
      <c r="A209" s="25" t="str">
        <f>"VOUT2 = "&amp;'Design Converter'!E12&amp;"V"</f>
        <v>VOUT2 = 3.3V</v>
      </c>
      <c r="B209" s="8" t="str">
        <f>IF(MODE_TOP="DUAL", 'Design Converter'!E12&amp;"V", "")</f>
        <v/>
      </c>
      <c r="C209" s="41"/>
      <c r="D209" s="79" t="b">
        <f>MODE=2</f>
        <v>0</v>
      </c>
      <c r="E209" s="8"/>
      <c r="F209" s="8"/>
      <c r="G209" s="8"/>
      <c r="H209" s="8"/>
      <c r="I209" s="26"/>
    </row>
    <row r="210" spans="1:9" x14ac:dyDescent="0.2">
      <c r="A210" s="25" t="str">
        <f>"VOUT2 = "&amp;'Design Converter'!E12&amp;"V"</f>
        <v>VOUT2 = 3.3V</v>
      </c>
      <c r="B210" s="8" t="str">
        <f>IF(MODE_TOP="BIPOLAR", 'Design Converter'!E12&amp;"V", "")</f>
        <v/>
      </c>
      <c r="C210" s="41"/>
      <c r="D210" s="8"/>
      <c r="E210" s="8"/>
      <c r="F210" s="8"/>
      <c r="G210" s="8"/>
      <c r="H210" s="8"/>
      <c r="I210" s="26"/>
    </row>
    <row r="211" spans="1:9" x14ac:dyDescent="0.2">
      <c r="A211" s="25"/>
      <c r="B211" s="8"/>
      <c r="C211" s="41"/>
      <c r="D211" s="8"/>
      <c r="E211" s="8"/>
      <c r="F211" s="8"/>
      <c r="G211" s="8"/>
      <c r="H211" s="8"/>
      <c r="I211" s="26"/>
    </row>
    <row r="212" spans="1:9" x14ac:dyDescent="0.2">
      <c r="A212" s="403" t="s">
        <v>527</v>
      </c>
      <c r="B212" s="79" t="str">
        <f>IF(MODE=1, "", "Co1")</f>
        <v/>
      </c>
      <c r="C212" s="79" t="str">
        <f>IF(MODE_TOP="DUAL", "Co2", "")</f>
        <v/>
      </c>
      <c r="D212" s="79" t="str">
        <f>IF(MODE_TOP="BIPOLAR", "Co2", "")</f>
        <v/>
      </c>
      <c r="E212" s="8"/>
      <c r="F212" s="79" t="str">
        <f>MODE_TOP</f>
        <v>SINGLE</v>
      </c>
      <c r="G212" s="8"/>
      <c r="H212" s="8"/>
      <c r="I212" s="26"/>
    </row>
    <row r="213" spans="1:9" x14ac:dyDescent="0.2">
      <c r="A213" s="25" t="str">
        <f>"COUT = "&amp;'Design Converter'!$E$21&amp;"µF"</f>
        <v>COUT = 100µF</v>
      </c>
      <c r="B213" s="8" t="str">
        <f>'Design Converter'!$E$21&amp;"µF"</f>
        <v>100µF</v>
      </c>
      <c r="C213" s="8" t="str">
        <f>IF(MODE_TOP="DUAL", 'Design Converter'!$L$21&amp;"µF", "")</f>
        <v/>
      </c>
      <c r="D213" s="8" t="str">
        <f>IF(MODE_TOP="BIPOLAR", 'Design Converter'!$L$21&amp;"µF", "")</f>
        <v/>
      </c>
      <c r="E213" s="8"/>
      <c r="F213" s="8" t="str">
        <f>'Design Converter'!$L$21&amp;"µF"</f>
        <v>47µF</v>
      </c>
      <c r="G213" s="8"/>
      <c r="H213" s="8"/>
      <c r="I213" s="26"/>
    </row>
    <row r="214" spans="1:9" x14ac:dyDescent="0.2">
      <c r="A214" s="112" t="s">
        <v>134</v>
      </c>
      <c r="B214" s="8" t="str">
        <f>"22µF"</f>
        <v>22µF</v>
      </c>
      <c r="C214" s="41"/>
      <c r="D214" s="8"/>
      <c r="E214" s="8"/>
      <c r="F214" s="8"/>
      <c r="G214" s="8"/>
      <c r="H214" s="8"/>
      <c r="I214" s="26"/>
    </row>
    <row r="215" spans="1:9" x14ac:dyDescent="0.2">
      <c r="A215" s="112" t="s">
        <v>135</v>
      </c>
      <c r="B215" s="80" t="str">
        <f>ROUNDUP(Cout/22,0)&amp;" x"</f>
        <v>5 x</v>
      </c>
      <c r="C215" s="166"/>
      <c r="D215" s="8"/>
      <c r="E215" s="8"/>
      <c r="F215" s="8"/>
      <c r="G215" s="8"/>
      <c r="H215" s="8"/>
      <c r="I215" s="26"/>
    </row>
    <row r="216" spans="1:9" x14ac:dyDescent="0.2">
      <c r="A216" s="112"/>
      <c r="B216" s="80">
        <f>Cout</f>
        <v>100</v>
      </c>
      <c r="C216" s="166"/>
      <c r="D216" s="8"/>
      <c r="E216" s="8"/>
      <c r="F216" s="8"/>
      <c r="G216" s="8"/>
      <c r="H216" s="8"/>
      <c r="I216" s="26"/>
    </row>
    <row r="217" spans="1:9" x14ac:dyDescent="0.2">
      <c r="A217" s="403" t="s">
        <v>528</v>
      </c>
      <c r="B217" s="8"/>
      <c r="C217" s="41"/>
      <c r="D217" s="8"/>
      <c r="E217" s="8"/>
      <c r="F217" s="8"/>
      <c r="G217" s="8"/>
      <c r="H217" s="8"/>
      <c r="I217" s="26"/>
    </row>
    <row r="218" spans="1:9" x14ac:dyDescent="0.2">
      <c r="A218" s="25" t="s">
        <v>95</v>
      </c>
      <c r="B218" s="8" t="str">
        <f>Cin&amp;"µF"</f>
        <v>4.7µF</v>
      </c>
      <c r="E218" s="8"/>
      <c r="F218" s="8"/>
      <c r="G218" s="8"/>
      <c r="H218" s="8"/>
      <c r="I218" s="26"/>
    </row>
    <row r="219" spans="1:9" x14ac:dyDescent="0.2">
      <c r="A219" s="112" t="s">
        <v>133</v>
      </c>
      <c r="B219" s="8" t="str">
        <f>"4.7µF"</f>
        <v>4.7µF</v>
      </c>
      <c r="C219" s="41"/>
      <c r="D219" s="8"/>
      <c r="E219" s="8"/>
      <c r="F219" s="8"/>
      <c r="G219" s="8"/>
      <c r="H219" s="8"/>
      <c r="I219" s="26"/>
    </row>
    <row r="220" spans="1:9" x14ac:dyDescent="0.2">
      <c r="A220" s="112" t="s">
        <v>132</v>
      </c>
      <c r="B220" s="80" t="str">
        <f>ROUNDUP(Cin/4.7,0)&amp;" x"</f>
        <v>1 x</v>
      </c>
      <c r="C220" s="166"/>
      <c r="D220" s="8"/>
      <c r="E220" s="8"/>
      <c r="F220" s="8"/>
      <c r="G220" s="8"/>
      <c r="H220" s="8"/>
      <c r="I220" s="26"/>
    </row>
    <row r="221" spans="1:9" x14ac:dyDescent="0.2">
      <c r="A221" s="112"/>
      <c r="B221" s="80"/>
      <c r="D221" s="8"/>
      <c r="E221" s="8"/>
      <c r="F221" s="8"/>
      <c r="G221" s="8"/>
      <c r="H221" s="8"/>
      <c r="I221" s="26"/>
    </row>
    <row r="222" spans="1:9" ht="15.75" x14ac:dyDescent="0.3">
      <c r="A222" s="112" t="s">
        <v>529</v>
      </c>
      <c r="B222" s="598" t="s">
        <v>530</v>
      </c>
      <c r="C222" s="598" t="s">
        <v>573</v>
      </c>
      <c r="D222" s="8"/>
      <c r="E222" s="8"/>
      <c r="F222" s="8"/>
      <c r="G222" s="8"/>
      <c r="H222" s="8"/>
      <c r="I222" s="26"/>
    </row>
    <row r="223" spans="1:9" x14ac:dyDescent="0.2">
      <c r="A223" s="112"/>
      <c r="B223" s="80"/>
      <c r="D223" s="8"/>
      <c r="E223" s="8"/>
      <c r="F223" s="8"/>
      <c r="G223" s="8"/>
      <c r="H223" s="8"/>
      <c r="I223" s="26"/>
    </row>
    <row r="224" spans="1:9" x14ac:dyDescent="0.2">
      <c r="A224" s="403" t="s">
        <v>396</v>
      </c>
      <c r="B224" s="166" t="str">
        <f>IF(MODE_TC=1, "YES", "NO")</f>
        <v>YES</v>
      </c>
      <c r="D224" s="8"/>
      <c r="E224" s="8"/>
      <c r="F224" s="8"/>
      <c r="G224" s="8"/>
      <c r="H224" s="8"/>
      <c r="I224" s="26"/>
    </row>
    <row r="225" spans="1:9" x14ac:dyDescent="0.2">
      <c r="A225" s="112" t="s">
        <v>301</v>
      </c>
      <c r="B225" s="166" t="str">
        <f>IF(MODE_TC=2, "YES", "NO")</f>
        <v>NO</v>
      </c>
      <c r="C225" s="393" t="str">
        <f>IF(MODE_TC=2, "R1", "")</f>
        <v/>
      </c>
      <c r="D225" s="393" t="str">
        <f>IF(MODE_TC=2, "R2", "")</f>
        <v/>
      </c>
      <c r="E225" s="393"/>
      <c r="F225" s="8"/>
      <c r="G225" s="8"/>
      <c r="H225" s="8"/>
      <c r="I225" s="26"/>
    </row>
    <row r="226" spans="1:9" x14ac:dyDescent="0.2">
      <c r="A226" s="25" t="str">
        <f>"RFB = "&amp;'Design Converter'!E26&amp;"kΩ"</f>
        <v>RFB = 159kΩ</v>
      </c>
      <c r="B226" s="8" t="str">
        <f>IF(MODE_TC=1, "", 'Design Converter'!E26&amp;"kΩ")</f>
        <v/>
      </c>
      <c r="C226" s="79" t="str">
        <f>'Design Converter'!E26&amp;"kΩ"</f>
        <v>159kΩ</v>
      </c>
      <c r="D226" s="8"/>
      <c r="E226" s="8"/>
      <c r="F226" s="8"/>
      <c r="G226" s="8"/>
      <c r="H226" s="8"/>
      <c r="I226" s="26"/>
    </row>
    <row r="227" spans="1:9" x14ac:dyDescent="0.2">
      <c r="A227" s="25" t="str">
        <f>"RFB2 = "&amp;IF(Vout=Vref,"OPEN",'Design Converter'!E27&amp;"kΩ")</f>
        <v>RFB2 = 158kΩ</v>
      </c>
      <c r="B227" s="8" t="str">
        <f>IF(MODE_TC=1, "", IF(Vout=Vref,"OPEN",Rfb2_u/1000&amp;"kΩ"))</f>
        <v/>
      </c>
      <c r="C227" s="79" t="str">
        <f>'Design Converter'!E27&amp;"kΩ"</f>
        <v>158kΩ</v>
      </c>
      <c r="D227" s="8"/>
      <c r="E227" s="8"/>
      <c r="F227" s="8"/>
      <c r="G227" s="8"/>
      <c r="H227" s="8"/>
      <c r="I227" s="26"/>
    </row>
    <row r="228" spans="1:9" x14ac:dyDescent="0.2">
      <c r="A228" s="25"/>
      <c r="B228" s="8"/>
      <c r="C228" s="79"/>
      <c r="D228" s="8"/>
      <c r="E228" s="8"/>
      <c r="F228" s="8"/>
      <c r="G228" s="8"/>
      <c r="H228" s="8"/>
      <c r="I228" s="26"/>
    </row>
    <row r="229" spans="1:9" x14ac:dyDescent="0.2">
      <c r="A229" s="112" t="s">
        <v>305</v>
      </c>
      <c r="B229" s="41" t="str">
        <f>IF(MODE=1, "YES", "NO")</f>
        <v>YES</v>
      </c>
      <c r="C229" s="8" t="str">
        <f>IF(MODE=1,"Rt", "")</f>
        <v>Rt</v>
      </c>
      <c r="D229" s="8"/>
      <c r="E229" s="8"/>
      <c r="F229" s="8"/>
      <c r="G229" s="8"/>
      <c r="H229" s="8"/>
      <c r="I229" s="26"/>
    </row>
    <row r="230" spans="1:9" x14ac:dyDescent="0.2">
      <c r="A230" s="112" t="s">
        <v>139</v>
      </c>
      <c r="B230" s="8" t="e">
        <f>IF(MODE=2, "", 'Standard Value Calculator'!J4/1000&amp;"kΩ")</f>
        <v>#NAME?</v>
      </c>
      <c r="C230" s="41"/>
      <c r="D230" s="8"/>
      <c r="E230" s="8"/>
      <c r="F230" s="8"/>
      <c r="G230" s="8"/>
      <c r="H230" s="8"/>
      <c r="I230" s="26"/>
    </row>
    <row r="231" spans="1:9" x14ac:dyDescent="0.2">
      <c r="A231" s="112"/>
      <c r="B231" s="8"/>
      <c r="C231" s="41"/>
      <c r="D231" s="8"/>
      <c r="E231" s="8"/>
      <c r="F231" s="8"/>
      <c r="G231" s="8"/>
      <c r="H231" s="8"/>
      <c r="I231" s="26"/>
    </row>
    <row r="232" spans="1:9" x14ac:dyDescent="0.2">
      <c r="A232" s="403" t="s">
        <v>386</v>
      </c>
      <c r="B232" s="166" t="str">
        <f>IF(MODE=1, "YES", "NO")</f>
        <v>YES</v>
      </c>
      <c r="C232" s="79" t="str">
        <f>IF(TC=1,"Rtc", "")</f>
        <v>Rtc</v>
      </c>
      <c r="D232" s="8"/>
      <c r="E232" s="8"/>
      <c r="F232" s="8"/>
      <c r="G232" s="8"/>
      <c r="H232" s="8"/>
      <c r="I232" s="26"/>
    </row>
    <row r="233" spans="1:9" x14ac:dyDescent="0.2">
      <c r="A233" s="539" t="str">
        <f>"RTC = "&amp;RTC&amp;"kΩ"</f>
        <v>RTC = 158kΩ</v>
      </c>
      <c r="B233" s="8" t="str">
        <f>IF(TC=1, RTC&amp;"kΩ", "")</f>
        <v>158kΩ</v>
      </c>
      <c r="C233" s="79" t="str">
        <f>CHOOSE(TC,"Rtc","")</f>
        <v>Rtc</v>
      </c>
      <c r="D233" s="8"/>
      <c r="E233" s="8"/>
      <c r="F233" s="9"/>
      <c r="G233" s="8"/>
      <c r="H233" s="8"/>
      <c r="I233" s="26"/>
    </row>
    <row r="234" spans="1:9" x14ac:dyDescent="0.2">
      <c r="A234" s="112" t="s">
        <v>389</v>
      </c>
      <c r="B234" s="374"/>
      <c r="C234" s="8"/>
      <c r="D234" s="8"/>
      <c r="E234" s="8"/>
      <c r="F234" s="9"/>
      <c r="G234" s="8"/>
      <c r="H234" s="8"/>
      <c r="I234" s="26"/>
    </row>
    <row r="235" spans="1:9" x14ac:dyDescent="0.2">
      <c r="A235" s="25"/>
      <c r="B235" s="80"/>
      <c r="C235" s="166"/>
      <c r="D235" s="8"/>
      <c r="E235" s="115"/>
      <c r="F235" s="8"/>
      <c r="G235" s="8"/>
      <c r="H235" s="8"/>
      <c r="I235" s="26"/>
    </row>
    <row r="236" spans="1:9" x14ac:dyDescent="0.2">
      <c r="A236" s="403" t="s">
        <v>309</v>
      </c>
      <c r="B236" s="166" t="str">
        <f>IF(MODE_UVLO=1, "YES", "NO")</f>
        <v>YES</v>
      </c>
      <c r="C236" s="393" t="str">
        <f>IF(MODE_UVLO=1, "Ruv1", "")</f>
        <v>Ruv1</v>
      </c>
      <c r="D236" s="393" t="str">
        <f>IF(MODE_UVLO=1, "Ruv2", "")</f>
        <v>Ruv2</v>
      </c>
      <c r="E236" s="393"/>
      <c r="F236" s="393" t="s">
        <v>6</v>
      </c>
      <c r="G236" s="393" t="s">
        <v>33</v>
      </c>
      <c r="H236" s="79" t="s">
        <v>343</v>
      </c>
      <c r="I236" s="26"/>
    </row>
    <row r="237" spans="1:9" x14ac:dyDescent="0.2">
      <c r="A237" s="25" t="str">
        <f>"RUV1 = "&amp;C237</f>
        <v>RUV1 = 127kΩ</v>
      </c>
      <c r="B237" s="8" t="str">
        <f>'Design Converter'!E37&amp;" kΩ"</f>
        <v>127 kΩ</v>
      </c>
      <c r="C237" s="393" t="str">
        <f>IF(MODE_UVLO=1,'Design Converter'!E37&amp;"kΩ", "")</f>
        <v>127kΩ</v>
      </c>
      <c r="F237" s="8">
        <f>IF(MODE_UVLO=1,'Design Converter'!E37, "")</f>
        <v>127</v>
      </c>
      <c r="G237" s="79" t="str">
        <f>IF(MODE_UVLO=1,"kΩ", "")</f>
        <v>kΩ</v>
      </c>
      <c r="H237" s="393" t="str">
        <f>IF(MODE_UVLO=1,'Design Converter'!E37&amp;"k", "")</f>
        <v>127k</v>
      </c>
      <c r="I237" s="26"/>
    </row>
    <row r="238" spans="1:9" x14ac:dyDescent="0.2">
      <c r="A238" s="25" t="str">
        <f>"RUV2 = "&amp;C238</f>
        <v>RUV2 = 20kΩ</v>
      </c>
      <c r="B238" s="8" t="str">
        <f>IF(D150&gt;=1000, D150/1000&amp;" MΩ", D150&amp;" kΩ")</f>
        <v>20 kΩ</v>
      </c>
      <c r="C238" s="393" t="str">
        <f>IF(MODE_UVLO=1, IF(D150&lt;1, D150*1000&amp;"Ω", IF(D150&lt;1000, D150&amp;"kΩ", D150/1000&amp;"MΩ")), "")</f>
        <v>20kΩ</v>
      </c>
      <c r="F238" s="8">
        <f>IF(MODE_UVLO=1, IF(D150&lt;1, D150*1000, IF(D150&lt;1000, D150, D150/1000)), "")</f>
        <v>20</v>
      </c>
      <c r="G238" s="79" t="str">
        <f>IF(MODE_UVLO=1, IF(D150&lt;1, "Ω", IF(D150&lt;1000,"kΩ", "MΩ")), "")</f>
        <v>kΩ</v>
      </c>
      <c r="H238" s="393" t="str">
        <f>IF(MODE_UVLO=1, IF(D150&lt;1, D150*1000, IF(D150&lt;1000, D150&amp;"k", D150/1000&amp;"M")), "")</f>
        <v>20k</v>
      </c>
      <c r="I238" s="26"/>
    </row>
    <row r="239" spans="1:9" x14ac:dyDescent="0.2">
      <c r="A239" s="25"/>
      <c r="B239" s="8"/>
      <c r="C239" s="393"/>
      <c r="F239" s="8"/>
      <c r="G239" s="79"/>
      <c r="H239" s="393"/>
      <c r="I239" s="26"/>
    </row>
    <row r="240" spans="1:9" x14ac:dyDescent="0.2">
      <c r="A240" s="403" t="s">
        <v>390</v>
      </c>
      <c r="B240" s="8"/>
      <c r="C240" s="393"/>
      <c r="F240" s="8"/>
      <c r="G240" s="79"/>
      <c r="H240" s="393"/>
      <c r="I240" s="26"/>
    </row>
    <row r="241" spans="1:9" x14ac:dyDescent="0.2">
      <c r="A241" s="25" t="str">
        <f>"RSET = "&amp;C241</f>
        <v>RSET = 12.1kΩ</v>
      </c>
      <c r="B241" s="79" t="s">
        <v>385</v>
      </c>
      <c r="C241" s="79" t="s">
        <v>553</v>
      </c>
      <c r="F241" s="8">
        <f>IF(MODE_UVLO=1, IF(D151&lt;1, D151*1000, IF(D151&lt;1000, D151, D151/1000)), "")</f>
        <v>0</v>
      </c>
      <c r="G241" s="79" t="str">
        <f>IF(MODE_UVLO=1, IF(D151&lt;1, "Ω", IF(D151&lt;1000,"kΩ", "MΩ")), "")</f>
        <v>Ω</v>
      </c>
      <c r="H241" s="393">
        <f>IF(MODE_UVLO=1, IF(D151&lt;1, D151*1000, IF(D151&lt;1000, D151&amp;"k", D151&amp;"M")), "")</f>
        <v>0</v>
      </c>
      <c r="I241" s="26"/>
    </row>
    <row r="242" spans="1:9" x14ac:dyDescent="0.2">
      <c r="A242" s="25"/>
      <c r="B242" s="79"/>
      <c r="C242" s="79"/>
      <c r="F242" s="8"/>
      <c r="G242" s="79"/>
      <c r="H242" s="393"/>
      <c r="I242" s="26"/>
    </row>
    <row r="243" spans="1:9" x14ac:dyDescent="0.2">
      <c r="A243" s="403" t="s">
        <v>391</v>
      </c>
      <c r="B243" s="80"/>
      <c r="C243" s="166"/>
      <c r="D243" s="8"/>
      <c r="E243" s="115"/>
      <c r="F243" s="8"/>
      <c r="G243" s="8"/>
      <c r="H243" s="8"/>
      <c r="I243" s="26"/>
    </row>
    <row r="244" spans="1:9" x14ac:dyDescent="0.2">
      <c r="A244" s="25" t="str">
        <f>"Css = "&amp;Css*1000000000&amp;"nF"</f>
        <v>Css = 45nF</v>
      </c>
      <c r="B244" s="8" t="str">
        <f>Css*1000000000&amp;"nF"</f>
        <v>45nF</v>
      </c>
      <c r="D244" s="8"/>
      <c r="E244" s="8"/>
      <c r="F244" s="8"/>
      <c r="G244" s="8"/>
      <c r="H244" s="8"/>
      <c r="I244" s="26"/>
    </row>
    <row r="245" spans="1:9" x14ac:dyDescent="0.2">
      <c r="A245" s="25" t="s">
        <v>66</v>
      </c>
      <c r="B245" s="8" t="str">
        <f>CHOOSE(MODE_SS,'Standard Value Calculator'!B4*1000000000&amp;"nF","")</f>
        <v/>
      </c>
      <c r="C245" s="8" t="str">
        <f>CHOOSE(MODE_SS,"Css","")</f>
        <v/>
      </c>
      <c r="D245" s="404" t="str">
        <f>B245</f>
        <v/>
      </c>
      <c r="E245" s="8"/>
      <c r="F245" s="8"/>
      <c r="G245" s="8"/>
      <c r="H245" s="8"/>
      <c r="I245" s="26"/>
    </row>
    <row r="246" spans="1:9" x14ac:dyDescent="0.2">
      <c r="A246" s="25"/>
      <c r="B246" s="8"/>
      <c r="C246" s="79" t="str">
        <f>C245</f>
        <v/>
      </c>
      <c r="D246" s="41"/>
      <c r="E246" s="8"/>
      <c r="F246" s="8"/>
      <c r="G246" s="8"/>
      <c r="H246" s="8"/>
      <c r="I246" s="26"/>
    </row>
    <row r="247" spans="1:9" x14ac:dyDescent="0.2">
      <c r="A247" s="25"/>
      <c r="B247" s="8"/>
      <c r="C247" s="79"/>
      <c r="D247" s="41"/>
      <c r="E247" s="8"/>
      <c r="F247" s="8"/>
      <c r="G247" s="8"/>
      <c r="H247" s="8"/>
      <c r="I247" s="26"/>
    </row>
    <row r="248" spans="1:9" x14ac:dyDescent="0.2">
      <c r="A248" s="112" t="s">
        <v>666</v>
      </c>
      <c r="B248" s="79">
        <f>ROUND(Iout*2,1)</f>
        <v>2</v>
      </c>
      <c r="C248" s="79" t="s">
        <v>1</v>
      </c>
      <c r="D248" s="8"/>
      <c r="E248" s="8"/>
      <c r="F248" s="8"/>
      <c r="G248" s="8"/>
      <c r="H248" s="8"/>
      <c r="I248" s="26"/>
    </row>
    <row r="249" spans="1:9" x14ac:dyDescent="0.2">
      <c r="A249" s="112" t="s">
        <v>667</v>
      </c>
      <c r="B249">
        <f>ROUND(VRRM_DIODE,0)</f>
        <v>21</v>
      </c>
      <c r="C249" s="79" t="s">
        <v>0</v>
      </c>
      <c r="D249" s="8"/>
      <c r="E249" s="8"/>
      <c r="F249" s="8"/>
      <c r="G249" s="8"/>
      <c r="H249" s="8"/>
      <c r="I249" s="26"/>
    </row>
    <row r="250" spans="1:9" x14ac:dyDescent="0.2">
      <c r="F250" s="8"/>
      <c r="G250" s="8"/>
      <c r="H250" s="8"/>
      <c r="I250" s="26"/>
    </row>
    <row r="251" spans="1:9" x14ac:dyDescent="0.2">
      <c r="A251" s="112"/>
      <c r="B251" s="374"/>
      <c r="C251" s="8"/>
      <c r="D251" s="8"/>
      <c r="E251" s="8"/>
      <c r="F251" s="8"/>
      <c r="G251" s="8"/>
      <c r="H251" s="8"/>
      <c r="I251" s="26"/>
    </row>
    <row r="252" spans="1:9" x14ac:dyDescent="0.2">
      <c r="A252" s="112" t="s">
        <v>129</v>
      </c>
      <c r="B252" s="79" t="s">
        <v>314</v>
      </c>
      <c r="C252" s="8"/>
      <c r="D252" s="8"/>
      <c r="E252" s="8"/>
      <c r="F252" s="8"/>
      <c r="G252" s="8"/>
      <c r="H252" s="8"/>
      <c r="I252" s="26"/>
    </row>
    <row r="253" spans="1:9" x14ac:dyDescent="0.2">
      <c r="A253" s="112"/>
      <c r="B253" s="79"/>
      <c r="C253" s="8"/>
      <c r="D253" s="8"/>
      <c r="E253" s="8"/>
      <c r="F253" s="8"/>
      <c r="G253" s="8"/>
      <c r="H253" s="8"/>
      <c r="I253" s="26"/>
    </row>
    <row r="254" spans="1:9" x14ac:dyDescent="0.2">
      <c r="A254" s="112" t="s">
        <v>184</v>
      </c>
      <c r="B254" s="359" t="str">
        <f>CHOOSE(MODE, ROUND('Calculations - Single'!$CA$105,1)&amp;"%", ROUND('Calculations - Dual'!CA105,1)&amp;"%")</f>
        <v>85.2%</v>
      </c>
      <c r="C254" s="8"/>
      <c r="D254" s="8"/>
      <c r="E254" s="8"/>
      <c r="F254" s="8"/>
      <c r="G254" s="8"/>
      <c r="H254" s="8"/>
      <c r="I254" s="26"/>
    </row>
    <row r="255" spans="1:9" x14ac:dyDescent="0.2">
      <c r="A255" s="112" t="s">
        <v>507</v>
      </c>
      <c r="B255" s="359" t="str">
        <f>ROUND('Calculations - Single'!$CA$55,1)&amp;"%"</f>
        <v>84%</v>
      </c>
      <c r="C255" s="8"/>
      <c r="D255" s="8"/>
      <c r="E255" s="8"/>
      <c r="F255" s="8"/>
      <c r="G255" s="8"/>
      <c r="H255" s="8"/>
      <c r="I255" s="26"/>
    </row>
    <row r="256" spans="1:9" x14ac:dyDescent="0.2">
      <c r="A256" s="112" t="s">
        <v>311</v>
      </c>
      <c r="B256" s="359" t="str">
        <f>ROUND('Calculations - Single'!$CA$15,1)&amp;"%"</f>
        <v>78%</v>
      </c>
      <c r="C256" s="79" t="s">
        <v>316</v>
      </c>
      <c r="D256" s="8"/>
      <c r="E256" s="8"/>
      <c r="F256" s="8"/>
      <c r="G256" s="8"/>
      <c r="H256" s="8"/>
      <c r="I256" s="26"/>
    </row>
    <row r="257" spans="1:9" x14ac:dyDescent="0.2">
      <c r="A257" s="112" t="s">
        <v>315</v>
      </c>
      <c r="B257" s="359" t="str">
        <f>ROUND(Parameters!BZ56,1)&amp;"%"</f>
        <v>0%</v>
      </c>
      <c r="C257" s="79" t="s">
        <v>317</v>
      </c>
      <c r="D257" s="8"/>
      <c r="E257" s="8"/>
      <c r="F257" s="8"/>
      <c r="G257" s="8"/>
      <c r="H257" s="8"/>
      <c r="I257" s="26"/>
    </row>
    <row r="258" spans="1:9" x14ac:dyDescent="0.2">
      <c r="A258" s="25"/>
      <c r="B258" s="8"/>
      <c r="C258" s="41"/>
      <c r="D258" s="8"/>
      <c r="E258" s="8"/>
      <c r="F258" s="8"/>
      <c r="G258" s="8"/>
      <c r="H258" s="8"/>
      <c r="I258" s="26"/>
    </row>
    <row r="259" spans="1:9" x14ac:dyDescent="0.2">
      <c r="A259" s="25"/>
      <c r="B259" s="8"/>
      <c r="C259" s="41"/>
      <c r="D259" s="8"/>
      <c r="E259" s="8"/>
      <c r="F259" s="8"/>
      <c r="G259" s="8"/>
      <c r="H259" s="8"/>
      <c r="I259" s="26"/>
    </row>
    <row r="260" spans="1:9" x14ac:dyDescent="0.2">
      <c r="A260" s="25"/>
      <c r="B260" s="8"/>
      <c r="C260" s="41"/>
      <c r="D260" s="8"/>
      <c r="E260" s="8"/>
      <c r="F260" s="8"/>
      <c r="G260" s="8"/>
      <c r="H260" s="8"/>
      <c r="I260" s="26"/>
    </row>
    <row r="261" spans="1:9" x14ac:dyDescent="0.2">
      <c r="A261" s="25" t="s">
        <v>80</v>
      </c>
      <c r="B261" s="8" t="str">
        <f>IF(C261="y","","|")</f>
        <v>|</v>
      </c>
      <c r="C261" s="41" t="s">
        <v>323</v>
      </c>
      <c r="D261" s="8"/>
      <c r="E261" s="8"/>
      <c r="F261" s="8"/>
      <c r="G261" s="8"/>
      <c r="H261" s="8"/>
      <c r="I261" s="26"/>
    </row>
    <row r="262" spans="1:9" x14ac:dyDescent="0.2">
      <c r="A262" s="25"/>
      <c r="B262" s="8"/>
      <c r="C262" s="41"/>
      <c r="D262" s="8"/>
      <c r="E262" s="8"/>
      <c r="F262" s="8"/>
      <c r="G262" s="8"/>
      <c r="H262" s="8"/>
      <c r="I262" s="26"/>
    </row>
    <row r="263" spans="1:9" x14ac:dyDescent="0.2">
      <c r="A263" s="511" t="s">
        <v>86</v>
      </c>
      <c r="B263" s="8" t="str">
        <f>'Design Converter'!$E$11&amp;"A"</f>
        <v>1A</v>
      </c>
      <c r="C263" s="41"/>
      <c r="D263" s="8"/>
      <c r="E263" s="8"/>
      <c r="F263" s="8"/>
      <c r="G263" s="8"/>
      <c r="H263" s="8"/>
      <c r="I263" s="26"/>
    </row>
    <row r="264" spans="1:9" x14ac:dyDescent="0.2">
      <c r="A264" s="511" t="s">
        <v>526</v>
      </c>
      <c r="B264" s="8" t="str">
        <f>IF(MODE_TOP="DUAL", 'Design Converter'!$E$13&amp;"A", "")</f>
        <v/>
      </c>
      <c r="C264" s="41"/>
      <c r="D264" s="79">
        <f>MODE</f>
        <v>1</v>
      </c>
      <c r="E264" s="8"/>
      <c r="F264" s="8"/>
      <c r="G264" s="8"/>
      <c r="H264" s="8"/>
      <c r="I264" s="26"/>
    </row>
    <row r="265" spans="1:9" x14ac:dyDescent="0.2">
      <c r="A265" s="511" t="s">
        <v>525</v>
      </c>
      <c r="B265" s="8" t="str">
        <f>IF(MODE_TOP="BIPOLAR", Iout2_actual&amp;"A", "")</f>
        <v/>
      </c>
      <c r="C265" s="41"/>
      <c r="D265" s="8"/>
      <c r="E265" s="8"/>
      <c r="F265" s="8"/>
      <c r="G265" s="8"/>
      <c r="H265" s="8"/>
      <c r="I265" s="26"/>
    </row>
    <row r="266" spans="1:9" x14ac:dyDescent="0.2">
      <c r="A266" s="25"/>
      <c r="B266" s="8"/>
      <c r="C266" s="41"/>
      <c r="D266" s="8"/>
      <c r="E266" s="8"/>
      <c r="F266" s="8"/>
      <c r="G266" s="8"/>
      <c r="H266" s="8"/>
      <c r="I266" s="26"/>
    </row>
    <row r="267" spans="1:9" x14ac:dyDescent="0.2">
      <c r="A267" s="112" t="s">
        <v>94</v>
      </c>
      <c r="B267" s="8">
        <v>1</v>
      </c>
      <c r="C267" s="41"/>
      <c r="D267" s="8"/>
      <c r="E267" s="8"/>
      <c r="F267" s="8"/>
      <c r="G267" s="8"/>
      <c r="H267" s="8"/>
      <c r="I267" s="26"/>
    </row>
    <row r="268" spans="1:9" x14ac:dyDescent="0.2">
      <c r="A268" s="112" t="s">
        <v>93</v>
      </c>
      <c r="B268" s="8">
        <v>2</v>
      </c>
      <c r="C268" s="41"/>
      <c r="D268" s="8"/>
      <c r="E268" s="8"/>
      <c r="F268" s="8"/>
      <c r="G268" s="8"/>
      <c r="H268" s="8"/>
      <c r="I268" s="26"/>
    </row>
    <row r="269" spans="1:9" x14ac:dyDescent="0.2">
      <c r="A269" s="614" t="s">
        <v>57</v>
      </c>
      <c r="B269" s="8">
        <v>3</v>
      </c>
      <c r="C269" s="41"/>
      <c r="D269" s="8"/>
      <c r="E269" s="8"/>
      <c r="F269" s="8"/>
      <c r="G269" s="8"/>
      <c r="H269" s="8"/>
      <c r="I269" s="26"/>
    </row>
    <row r="270" spans="1:9" x14ac:dyDescent="0.2">
      <c r="A270" s="112" t="s">
        <v>574</v>
      </c>
      <c r="B270" s="8">
        <v>4</v>
      </c>
      <c r="C270" s="41"/>
      <c r="D270" s="8"/>
      <c r="E270" s="8"/>
      <c r="F270" s="8"/>
      <c r="G270" s="8"/>
      <c r="H270" s="8"/>
      <c r="I270" s="26"/>
    </row>
    <row r="271" spans="1:9" x14ac:dyDescent="0.2">
      <c r="A271" s="112" t="s">
        <v>575</v>
      </c>
      <c r="B271" s="8">
        <v>5</v>
      </c>
      <c r="C271" s="41"/>
      <c r="D271" s="8"/>
      <c r="E271" s="8"/>
      <c r="F271" s="8"/>
      <c r="G271" s="8"/>
      <c r="H271" s="8"/>
      <c r="I271" s="26"/>
    </row>
    <row r="272" spans="1:9" x14ac:dyDescent="0.2">
      <c r="A272" s="112" t="s">
        <v>576</v>
      </c>
      <c r="B272" s="8">
        <v>6</v>
      </c>
      <c r="C272" s="41"/>
      <c r="D272" s="8"/>
      <c r="E272" s="8"/>
      <c r="F272" s="8"/>
      <c r="G272" s="8"/>
      <c r="H272" s="8"/>
      <c r="I272" s="26"/>
    </row>
    <row r="273" spans="1:9" x14ac:dyDescent="0.2">
      <c r="A273" s="112" t="s">
        <v>577</v>
      </c>
      <c r="B273" s="8">
        <v>7</v>
      </c>
      <c r="C273" s="41"/>
      <c r="D273" s="8"/>
      <c r="E273" s="8"/>
      <c r="F273" s="8"/>
      <c r="G273" s="8"/>
      <c r="H273" s="8"/>
      <c r="I273" s="26"/>
    </row>
    <row r="274" spans="1:9" x14ac:dyDescent="0.2">
      <c r="A274" s="614" t="s">
        <v>92</v>
      </c>
      <c r="B274" s="8">
        <v>8</v>
      </c>
      <c r="C274" s="41"/>
      <c r="D274" s="8"/>
      <c r="E274" s="8"/>
      <c r="F274" s="8"/>
      <c r="G274" s="8"/>
      <c r="H274" s="8"/>
      <c r="I274" s="26"/>
    </row>
    <row r="275" spans="1:9" ht="13.5" thickBot="1" x14ac:dyDescent="0.25">
      <c r="A275" s="213"/>
      <c r="B275" s="30"/>
      <c r="C275" s="165"/>
      <c r="D275" s="30"/>
      <c r="E275" s="30"/>
      <c r="F275" s="30"/>
      <c r="G275" s="30"/>
      <c r="H275" s="30"/>
      <c r="I275" s="31"/>
    </row>
  </sheetData>
  <sheetProtection selectLockedCells="1"/>
  <mergeCells count="2">
    <mergeCell ref="E5:H5"/>
    <mergeCell ref="A1:I1"/>
  </mergeCells>
  <phoneticPr fontId="6" type="noConversion"/>
  <pageMargins left="0.75" right="0.75" top="1" bottom="1" header="0.5" footer="0.5"/>
  <pageSetup orientation="portrait" r:id="rId1"/>
  <headerFooter alignWithMargins="0"/>
  <ignoredErrors>
    <ignoredError sqref="R56:R60"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locked="0" defaultSize="0" autoLine="0" autoPict="0">
                <anchor moveWithCells="1">
                  <from>
                    <xdr:col>9</xdr:col>
                    <xdr:colOff>447675</xdr:colOff>
                    <xdr:row>6</xdr:row>
                    <xdr:rowOff>19050</xdr:rowOff>
                  </from>
                  <to>
                    <xdr:col>10</xdr:col>
                    <xdr:colOff>666750</xdr:colOff>
                    <xdr:row>7</xdr:row>
                    <xdr:rowOff>95250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7030A0"/>
  </sheetPr>
  <dimension ref="B1:CG321"/>
  <sheetViews>
    <sheetView zoomScaleNormal="100" workbookViewId="0">
      <pane xSplit="6" ySplit="4" topLeftCell="G38" activePane="bottomRight" state="frozen"/>
      <selection pane="topRight" activeCell="G1" sqref="G1"/>
      <selection pane="bottomLeft" activeCell="A5" sqref="A5"/>
      <selection pane="bottomRight" activeCell="AA49" sqref="AA49"/>
    </sheetView>
  </sheetViews>
  <sheetFormatPr defaultRowHeight="12.75" x14ac:dyDescent="0.2"/>
  <cols>
    <col min="1" max="1" width="2.85546875" customWidth="1"/>
    <col min="2" max="2" width="3.5703125" customWidth="1"/>
    <col min="3" max="3" width="2.85546875" customWidth="1"/>
    <col min="4" max="4" width="3.7109375" customWidth="1"/>
    <col min="5" max="5" width="6.140625" customWidth="1"/>
    <col min="6" max="7" width="7.7109375" customWidth="1"/>
    <col min="8" max="8" width="7.85546875" customWidth="1"/>
    <col min="9" max="9" width="6.28515625" customWidth="1"/>
    <col min="10" max="10" width="9.5703125" customWidth="1"/>
    <col min="11" max="11" width="9.28515625" customWidth="1"/>
    <col min="12" max="12" width="1.85546875" customWidth="1"/>
    <col min="13" max="13" width="8.42578125" customWidth="1"/>
    <col min="14" max="15" width="9.5703125" customWidth="1"/>
    <col min="16" max="16" width="8.85546875" customWidth="1"/>
    <col min="17" max="18" width="8.5703125" customWidth="1"/>
    <col min="19" max="19" width="15.42578125" customWidth="1"/>
    <col min="20" max="20" width="10.42578125" customWidth="1"/>
    <col min="21" max="21" width="7.5703125" customWidth="1"/>
    <col min="22" max="22" width="9" customWidth="1"/>
    <col min="23" max="23" width="8.85546875" customWidth="1"/>
    <col min="24" max="24" width="10" customWidth="1"/>
    <col min="25" max="25" width="9.5703125" customWidth="1"/>
    <col min="26" max="26" width="1.85546875" customWidth="1"/>
    <col min="27" max="27" width="9.85546875" customWidth="1"/>
    <col min="28" max="28" width="10.42578125" customWidth="1"/>
    <col min="29" max="29" width="10.140625" customWidth="1"/>
    <col min="30" max="30" width="2" customWidth="1"/>
    <col min="31" max="31" width="9.140625" customWidth="1"/>
    <col min="32" max="32" width="9.42578125" customWidth="1"/>
    <col min="33" max="33" width="10.42578125" customWidth="1"/>
    <col min="34" max="34" width="2.140625" customWidth="1"/>
    <col min="36" max="36" width="8" customWidth="1"/>
    <col min="38" max="38" width="2.28515625" customWidth="1"/>
    <col min="39" max="39" width="6.5703125" customWidth="1"/>
    <col min="40" max="40" width="7.5703125" customWidth="1"/>
    <col min="41" max="41" width="2" customWidth="1"/>
    <col min="42" max="42" width="6.42578125" customWidth="1"/>
    <col min="43" max="43" width="7.5703125" customWidth="1"/>
    <col min="44" max="44" width="2.140625" customWidth="1"/>
    <col min="45" max="48" width="7" customWidth="1"/>
    <col min="49" max="50" width="8.42578125" customWidth="1"/>
    <col min="51" max="52" width="11" customWidth="1"/>
    <col min="53" max="53" width="9.42578125" customWidth="1"/>
    <col min="54" max="54" width="9.85546875" customWidth="1"/>
    <col min="55" max="55" width="2" customWidth="1"/>
    <col min="58" max="58" width="2.140625" customWidth="1"/>
    <col min="59" max="59" width="9" customWidth="1"/>
    <col min="60" max="61" width="8.140625" customWidth="1"/>
    <col min="62" max="62" width="8.7109375" customWidth="1"/>
    <col min="63" max="63" width="7.5703125" customWidth="1"/>
    <col min="64" max="64" width="10.5703125" customWidth="1"/>
    <col min="65" max="65" width="8.7109375" customWidth="1"/>
    <col min="66" max="67" width="10.28515625" customWidth="1"/>
    <col min="68" max="69" width="10.5703125" customWidth="1"/>
    <col min="70" max="70" width="8.7109375" customWidth="1"/>
    <col min="72" max="72" width="9.85546875" customWidth="1"/>
    <col min="73" max="73" width="11.5703125" customWidth="1"/>
    <col min="74" max="74" width="12.140625" customWidth="1"/>
    <col min="75" max="75" width="9.140625" customWidth="1"/>
    <col min="77" max="77" width="7.7109375" customWidth="1"/>
    <col min="78" max="78" width="10.42578125" customWidth="1"/>
    <col min="79" max="79" width="12.42578125" bestFit="1" customWidth="1"/>
    <col min="80" max="80" width="4.5703125" customWidth="1"/>
    <col min="81" max="81" width="5" customWidth="1"/>
    <col min="82" max="82" width="9.5703125" customWidth="1"/>
  </cols>
  <sheetData>
    <row r="1" spans="2:83" x14ac:dyDescent="0.2">
      <c r="B1" s="456" t="s">
        <v>532</v>
      </c>
      <c r="M1">
        <f>Vfwd2</f>
        <v>0.4</v>
      </c>
      <c r="BB1">
        <f>Ltc</f>
        <v>4.0000000000000001E-3</v>
      </c>
      <c r="BS1">
        <f>Ta</f>
        <v>55</v>
      </c>
    </row>
    <row r="2" spans="2:83" ht="13.5" thickBot="1" x14ac:dyDescent="0.25">
      <c r="M2">
        <f>Vfwd1</f>
        <v>0.3</v>
      </c>
      <c r="U2">
        <f>Isw_max</f>
        <v>1.5</v>
      </c>
    </row>
    <row r="3" spans="2:83" x14ac:dyDescent="0.2">
      <c r="E3" s="226" t="s">
        <v>434</v>
      </c>
      <c r="F3" s="558"/>
      <c r="G3" s="558"/>
      <c r="H3" s="558"/>
      <c r="I3" s="227"/>
      <c r="J3" s="228"/>
      <c r="K3" s="542"/>
      <c r="L3" s="542"/>
      <c r="M3" s="691" t="s">
        <v>190</v>
      </c>
      <c r="N3" s="692"/>
      <c r="O3" s="693"/>
      <c r="P3" s="691"/>
      <c r="Q3" s="691"/>
      <c r="R3" s="693"/>
      <c r="S3" s="693"/>
      <c r="T3" s="693"/>
      <c r="U3" s="691"/>
      <c r="V3" s="692"/>
      <c r="W3" s="692"/>
      <c r="X3" s="691"/>
      <c r="Y3" s="692"/>
      <c r="Z3" s="691"/>
      <c r="AA3" s="694"/>
      <c r="AB3" s="551"/>
      <c r="AC3" s="551"/>
      <c r="AD3" s="551"/>
      <c r="AE3" s="551"/>
      <c r="AF3" s="551"/>
      <c r="AG3" s="551"/>
      <c r="AH3" s="551"/>
      <c r="AI3" s="551"/>
      <c r="AJ3" s="551"/>
      <c r="AK3" s="551"/>
      <c r="AL3" s="551"/>
      <c r="AM3" s="551"/>
      <c r="AN3" s="551"/>
      <c r="AO3" s="551"/>
      <c r="AP3" s="551"/>
      <c r="AQ3" s="551"/>
      <c r="AR3" s="551"/>
      <c r="AS3" s="551" t="s">
        <v>473</v>
      </c>
      <c r="AT3" s="551"/>
      <c r="AU3" s="551"/>
      <c r="AV3" s="551"/>
      <c r="AW3" s="551"/>
      <c r="AX3" s="551"/>
      <c r="AY3" s="551"/>
      <c r="AZ3" s="551"/>
      <c r="BA3" s="551" t="s">
        <v>483</v>
      </c>
      <c r="BB3" s="551"/>
      <c r="BC3" s="551"/>
      <c r="BD3" s="577" t="s">
        <v>484</v>
      </c>
      <c r="BE3" s="551"/>
      <c r="BF3" s="551"/>
      <c r="BG3" s="577" t="s">
        <v>508</v>
      </c>
      <c r="BH3" s="551"/>
      <c r="BI3" s="551"/>
      <c r="BJ3" s="551"/>
      <c r="BK3" s="551"/>
      <c r="BL3" s="551"/>
      <c r="BM3" s="551"/>
      <c r="BN3" s="577" t="s">
        <v>504</v>
      </c>
      <c r="BO3" s="551"/>
      <c r="BP3" s="551"/>
      <c r="BQ3" s="551"/>
      <c r="BR3" s="578" t="s">
        <v>505</v>
      </c>
      <c r="BS3" s="551"/>
      <c r="BT3" s="551"/>
      <c r="BU3" s="551"/>
      <c r="BV3" s="551"/>
      <c r="BW3" s="551"/>
      <c r="BX3" s="577"/>
      <c r="BY3" s="551"/>
      <c r="BZ3" s="551"/>
      <c r="CA3" s="551"/>
      <c r="CB3" s="551"/>
    </row>
    <row r="4" spans="2:83" ht="45" customHeight="1" thickBot="1" x14ac:dyDescent="0.25">
      <c r="E4" s="247" t="s">
        <v>25</v>
      </c>
      <c r="F4" s="455" t="s">
        <v>195</v>
      </c>
      <c r="G4" s="266"/>
      <c r="H4" s="545" t="s">
        <v>224</v>
      </c>
      <c r="I4" s="248" t="s">
        <v>425</v>
      </c>
      <c r="J4" s="249" t="s">
        <v>431</v>
      </c>
      <c r="K4" s="545" t="s">
        <v>426</v>
      </c>
      <c r="L4" s="545"/>
      <c r="M4" s="250" t="s">
        <v>48</v>
      </c>
      <c r="N4" s="545" t="s">
        <v>415</v>
      </c>
      <c r="O4" s="545" t="s">
        <v>685</v>
      </c>
      <c r="P4" s="545" t="s">
        <v>416</v>
      </c>
      <c r="Q4" s="545" t="s">
        <v>446</v>
      </c>
      <c r="R4" s="545" t="s">
        <v>683</v>
      </c>
      <c r="S4" s="545" t="s">
        <v>686</v>
      </c>
      <c r="T4" s="545" t="s">
        <v>684</v>
      </c>
      <c r="U4" s="545" t="s">
        <v>427</v>
      </c>
      <c r="V4" s="545" t="s">
        <v>479</v>
      </c>
      <c r="W4" s="545" t="s">
        <v>478</v>
      </c>
      <c r="X4" s="565" t="s">
        <v>433</v>
      </c>
      <c r="Y4" s="560" t="s">
        <v>438</v>
      </c>
      <c r="AA4" s="251" t="s">
        <v>430</v>
      </c>
      <c r="AB4" s="251" t="s">
        <v>477</v>
      </c>
      <c r="AC4" s="251" t="s">
        <v>436</v>
      </c>
      <c r="AD4" s="562"/>
      <c r="AE4" s="251" t="s">
        <v>476</v>
      </c>
      <c r="AF4" s="251" t="s">
        <v>439</v>
      </c>
      <c r="AG4" s="251" t="s">
        <v>440</v>
      </c>
      <c r="AH4" s="562"/>
      <c r="AI4" s="251" t="s">
        <v>442</v>
      </c>
      <c r="AJ4" s="566" t="s">
        <v>443</v>
      </c>
      <c r="AK4" s="566" t="s">
        <v>444</v>
      </c>
      <c r="AM4" s="561" t="s">
        <v>276</v>
      </c>
      <c r="AN4" s="561" t="s">
        <v>445</v>
      </c>
      <c r="AP4" s="251" t="s">
        <v>276</v>
      </c>
      <c r="AQ4" s="251" t="s">
        <v>445</v>
      </c>
      <c r="AR4" s="567"/>
      <c r="AS4" s="251" t="s">
        <v>480</v>
      </c>
      <c r="AT4" s="251" t="s">
        <v>474</v>
      </c>
      <c r="AU4" s="251" t="s">
        <v>475</v>
      </c>
      <c r="AV4" s="251" t="s">
        <v>682</v>
      </c>
      <c r="AW4" s="251" t="s">
        <v>48</v>
      </c>
      <c r="AX4" s="567" t="s">
        <v>680</v>
      </c>
      <c r="AY4" s="562" t="s">
        <v>679</v>
      </c>
      <c r="AZ4" s="562" t="s">
        <v>681</v>
      </c>
      <c r="BA4" s="251" t="s">
        <v>495</v>
      </c>
      <c r="BB4" s="251" t="s">
        <v>531</v>
      </c>
      <c r="BC4" s="562"/>
      <c r="BD4" s="576" t="s">
        <v>469</v>
      </c>
      <c r="BE4" s="251" t="s">
        <v>470</v>
      </c>
      <c r="BF4" s="562"/>
      <c r="BG4" s="576" t="s">
        <v>487</v>
      </c>
      <c r="BH4" s="251" t="s">
        <v>488</v>
      </c>
      <c r="BI4" s="251" t="s">
        <v>486</v>
      </c>
      <c r="BJ4" s="251" t="s">
        <v>482</v>
      </c>
      <c r="BK4" s="251" t="s">
        <v>491</v>
      </c>
      <c r="BL4" s="251" t="s">
        <v>701</v>
      </c>
      <c r="BM4" s="251" t="s">
        <v>506</v>
      </c>
      <c r="BN4" s="576" t="s">
        <v>489</v>
      </c>
      <c r="BO4" s="251" t="s">
        <v>490</v>
      </c>
      <c r="BP4" s="251" t="s">
        <v>498</v>
      </c>
      <c r="BQ4" s="251" t="s">
        <v>502</v>
      </c>
      <c r="BR4" s="576" t="s">
        <v>471</v>
      </c>
      <c r="BS4" s="251" t="s">
        <v>472</v>
      </c>
      <c r="BT4" s="251" t="s">
        <v>481</v>
      </c>
      <c r="BU4" s="251" t="s">
        <v>699</v>
      </c>
      <c r="BV4" s="251" t="s">
        <v>499</v>
      </c>
      <c r="BW4" s="251" t="s">
        <v>700</v>
      </c>
      <c r="BX4" s="576" t="s">
        <v>497</v>
      </c>
      <c r="BY4" s="251" t="s">
        <v>224</v>
      </c>
      <c r="BZ4" s="251" t="s">
        <v>47</v>
      </c>
      <c r="CA4" s="251" t="s">
        <v>500</v>
      </c>
      <c r="CB4" s="251"/>
      <c r="CD4" s="589" t="s">
        <v>696</v>
      </c>
      <c r="CE4" s="589" t="s">
        <v>697</v>
      </c>
    </row>
    <row r="5" spans="2:83" x14ac:dyDescent="0.2">
      <c r="E5" s="176">
        <v>0.1</v>
      </c>
      <c r="F5" s="223">
        <v>1.0000000000000001E-9</v>
      </c>
      <c r="G5" s="223"/>
      <c r="H5" s="223">
        <f t="shared" ref="H5:H36" si="0">F5*Vout</f>
        <v>5.0000000000000001E-9</v>
      </c>
      <c r="I5" s="559">
        <f t="shared" ref="I5:I36" si="1">Vin</f>
        <v>24</v>
      </c>
      <c r="J5" s="178">
        <f t="shared" ref="J5:J36" si="2">(T5+Vfwd1)*Nps</f>
        <v>15.899999999999999</v>
      </c>
      <c r="K5" s="454">
        <f t="shared" ref="K5:K36" si="3">(Vout+Vfwd1)*Nps+I5</f>
        <v>39.9</v>
      </c>
      <c r="L5" s="454"/>
      <c r="M5" s="223">
        <f t="shared" ref="M5:M36" si="4">(Vout+Vfwd1)*Nps/((Vout+Vfwd1)*Nps+I5)</f>
        <v>0.39849624060150374</v>
      </c>
      <c r="N5" s="178">
        <f t="shared" ref="N5:N68" si="5">M5*I5*Isw_max*0.5*Efficiency</f>
        <v>6.4556390977443598</v>
      </c>
      <c r="O5" s="178">
        <f>T5*F5</f>
        <v>5.0000000000000001E-9</v>
      </c>
      <c r="P5" s="223">
        <f t="shared" ref="P5:P36" si="6">N5/Vout</f>
        <v>1.291127819548872</v>
      </c>
      <c r="Q5" s="223">
        <f t="shared" ref="Q5:Q36" si="7">MIN(Vout,N5/F5)</f>
        <v>5</v>
      </c>
      <c r="R5" s="223">
        <f t="shared" ref="R5:R36" si="8">Isw_max/2*I5*Nps*(Q5+Vfwd1)/Q5/(I5+Nps*(Q5+Vfwd1))</f>
        <v>1.4345864661654135</v>
      </c>
      <c r="S5" s="178">
        <f t="shared" ref="S5:S36" si="9">(SQRT(Isw_max^2*Nps^2*I5^2+4*Isw_max*F5/Efficiency*(Nps^2*Vfwd1*I5-Nps*I5^2)+4*(F5/Efficiency)^2*Nps^2*Vfwd1^2+8*(F5/Efficiency)^2*Nps*Vfwd1*I5+4*(F5/Efficiency)^2*I5^2)-2*F5/Efficiency*I5-2*F5/Efficiency*Nps*Vfwd1+Isw_max*Nps*I5)/(4*F5/Efficiency*Nps)</f>
        <v>16199999991.999998</v>
      </c>
      <c r="T5" s="178">
        <f t="shared" ref="T5:T36" si="10">MIN(Vout, S5)</f>
        <v>5</v>
      </c>
      <c r="U5" s="223">
        <f t="shared" ref="U5:U36" si="11">MIN(2*Vout*F5/(Efficiency*I5*M5), Isw_max)</f>
        <v>1.1617749825296995E-9</v>
      </c>
      <c r="V5" s="223">
        <f t="shared" ref="V5:V36" si="12">L*U5/I5*1000000</f>
        <v>1.4522187281621245E-9</v>
      </c>
      <c r="W5" s="223">
        <f t="shared" ref="W5:W36" si="13">L*U5/J5*1000000</f>
        <v>2.1920282689239616E-9</v>
      </c>
      <c r="X5" s="203">
        <f t="shared" ref="X5:X36" si="14">IF(1/((350000*L)*(1/I5+1/J5))&gt;Isw_min, 350, 0.001/((Isw_min*L)*(1/I5+1/J5)))</f>
        <v>350</v>
      </c>
      <c r="Y5" s="454">
        <f>MIN(1/(V5+W5)*1000, 350)</f>
        <v>350</v>
      </c>
      <c r="AA5" s="223">
        <f t="shared" ref="AA5:AA36" si="15">1/((X5*1000*L)*(1/I5+1/J5))</f>
        <v>0.91084854994629427</v>
      </c>
      <c r="AB5" s="179">
        <f t="shared" ref="AB5:AB36" si="16">L*AA5/J5*1000000</f>
        <v>1.7185821697099894</v>
      </c>
      <c r="AC5" s="179">
        <f t="shared" ref="AC5:AC36" si="17">0.5*AB5*AA5*Nps*X5/1000</f>
        <v>0.82181824055304764</v>
      </c>
      <c r="AD5" s="179"/>
      <c r="AE5" s="179">
        <f t="shared" ref="AE5:AE36" si="18">L*Isw_min/J5*1000000</f>
        <v>0.5660377358490567</v>
      </c>
      <c r="AF5" s="563">
        <f>MAX(10, F5/(0.5*AE5/1000000*Isw_min*Nps)/1000)</f>
        <v>10</v>
      </c>
      <c r="AG5" s="546">
        <f t="shared" ref="AG5:AG36" si="19">0.5*AE5/1000000*Isw_min*Nps*X5*1000</f>
        <v>8.9150943396226423E-2</v>
      </c>
      <c r="AI5" s="179">
        <f t="shared" ref="AI5:AI36" si="20">SQRT(F5/Efficiency/(0.5*L/J5*Fsw_DCM*Nps))</f>
        <v>3.3491687352134433E-5</v>
      </c>
      <c r="AJ5" s="179">
        <f t="shared" ref="AJ5:AJ36" si="21">MAX(IF(F5&gt;AC5,U5,AI5),Isw_min)</f>
        <v>0.3</v>
      </c>
      <c r="AK5" s="179">
        <f t="shared" ref="AK5:AK36" si="22">IF(F5&gt;AG5, (AJ5-Isw_min)/1.08*0.8+1.2, AF5*0.2/350+1)</f>
        <v>1.0057142857142858</v>
      </c>
      <c r="AM5" s="563">
        <f t="shared" ref="AM5:AM36" si="23">F5*1000</f>
        <v>1.0000000000000002E-6</v>
      </c>
      <c r="AN5" s="472">
        <f t="shared" ref="AN5:AN36" si="24">IF(F5&gt;AG5, Y5, AF5)</f>
        <v>10</v>
      </c>
      <c r="AP5">
        <f t="shared" ref="AP5:AP36" si="25">IF(H5&gt;N5, "",AM5)</f>
        <v>1.0000000000000002E-6</v>
      </c>
      <c r="AQ5" s="472">
        <f t="shared" ref="AQ5:AQ36" si="26">IF(H5&gt;N5, "",AN5)</f>
        <v>10</v>
      </c>
      <c r="AR5" s="472"/>
      <c r="AS5" s="6">
        <f>1/AN5*1000</f>
        <v>100</v>
      </c>
      <c r="AT5" s="6">
        <f t="shared" ref="AT5:AT36" si="27">L*AJ5/I5*1000000</f>
        <v>0.375</v>
      </c>
      <c r="AU5" s="6">
        <f>AS5-AT5</f>
        <v>99.625</v>
      </c>
      <c r="AV5" s="6">
        <f t="shared" ref="AV5:AV36" si="28">L*AJ5/J5*1000000</f>
        <v>0.5660377358490567</v>
      </c>
      <c r="AW5" s="179">
        <f>AT5/AS5</f>
        <v>3.7499999999999999E-3</v>
      </c>
      <c r="AX5" s="179">
        <f t="shared" ref="AX5:AX36" si="29">0.5*L*AJ5^2*AN5*1000</f>
        <v>1.35E-2</v>
      </c>
      <c r="AY5" s="179">
        <f t="shared" ref="AY5:AY36" si="30">AJ5*Nps/2*(1-AW5)</f>
        <v>0.44831249999999995</v>
      </c>
      <c r="AZ5" s="179">
        <f>AX5/AY5</f>
        <v>3.0112923462986201E-2</v>
      </c>
      <c r="BA5" s="472">
        <f t="shared" ref="BA5:BA36" si="31">F5*AT5/Vout_ripple*1000</f>
        <v>7.500000000000001E-9</v>
      </c>
      <c r="BB5" s="6">
        <f t="shared" ref="BB5:BB36" si="32">H5/Efficiency/I5*AU5/Vinripple1</f>
        <v>1.9217785493827158E-8</v>
      </c>
      <c r="BC5" s="6"/>
      <c r="BD5" s="179">
        <f>AJ5*SQRT(AW5/3)</f>
        <v>1.0606601717798212E-2</v>
      </c>
      <c r="BE5" s="179">
        <f t="shared" ref="BE5:BE36" si="33">AJ5*Nps*SQRT((1-AW5)/3)</f>
        <v>0.51864004858861401</v>
      </c>
      <c r="BF5" s="179"/>
      <c r="BG5" s="546">
        <f t="shared" ref="BG5:BG36" si="34">Rdson*BD5^2</f>
        <v>3.9374999999999988E-5</v>
      </c>
      <c r="BH5" s="546">
        <f t="shared" ref="BH5:BH36" si="35">0.5*K5*AJ5*AN5*1000*Trise</f>
        <v>8.9774999999999979E-4</v>
      </c>
      <c r="BI5" s="546">
        <f t="shared" ref="BI5:BI36" si="36">Qg*Vdd*AN5*1000</f>
        <v>1.25E-4</v>
      </c>
      <c r="BJ5" s="546">
        <f t="shared" ref="BJ5:BJ36" si="37">0.5*(Coss+Csw)*K5^2*AN5*1000</f>
        <v>7.9600500000000002E-4</v>
      </c>
      <c r="BK5">
        <f t="shared" ref="BK5:BK36" si="38">I5*IQ</f>
        <v>6.96E-3</v>
      </c>
      <c r="BL5" s="546">
        <f t="shared" ref="BL5:BL36" si="39">(BH5+BI5+BJ5+BK5+BG5*(1+RdsonTC*(Ta-25)))/(1-BG5*RdsonTC*ThetaJA)</f>
        <v>8.823566008771367E-3</v>
      </c>
      <c r="BM5" s="472">
        <f>BL5*1000</f>
        <v>8.8235660087713672</v>
      </c>
      <c r="BN5" s="546">
        <f t="shared" ref="BN5:BN36" si="40">Vfwd2*F5*(1+Diode_TC/1000*(Ta-25))</f>
        <v>3.8800000000000006E-10</v>
      </c>
      <c r="BO5" s="546"/>
      <c r="BQ5" s="472">
        <f>SUM(BN5:BP5)*1000</f>
        <v>3.8800000000000003E-7</v>
      </c>
      <c r="BR5" s="546">
        <f t="shared" ref="BR5:BR36" si="41">Rdcr_pri*BD5^2</f>
        <v>2.2499999999999995E-5</v>
      </c>
      <c r="BS5" s="546">
        <f t="shared" ref="BS5:BS36" si="42">Rdcr_sec*BE5^2</f>
        <v>1.0759499999999995E-2</v>
      </c>
      <c r="BT5" s="546">
        <f t="shared" ref="BT5:BT36" si="43">AJ5^2.5*AN5^2.5*k_core</f>
        <v>7.7942286340599532E-7</v>
      </c>
      <c r="BU5" s="546">
        <f t="shared" ref="BU5:BU36" si="44">(BT5+(BR5+BS5)*(1+Ltc*(Ta-25)))/(1-(BR5+BS5)*Ltc*ThetaCa)</f>
        <v>1.2087045224592327E-2</v>
      </c>
      <c r="BV5" s="546">
        <f t="shared" ref="BV5:BV36" si="45">0.5*Lleak*0.000000001*AJ5^2*AN5*1000</f>
        <v>9.0000000000000006E-5</v>
      </c>
      <c r="BW5" s="472">
        <f>1000*(BU5+BV5)</f>
        <v>12.177045224592327</v>
      </c>
      <c r="BX5" s="179">
        <f>SUM(BL5,BN5:BP5,BU5, BV5)</f>
        <v>2.1000611621363692E-2</v>
      </c>
      <c r="BY5" s="6">
        <f>MIN(H5,O5)</f>
        <v>5.0000000000000001E-9</v>
      </c>
      <c r="BZ5" s="179">
        <f>BY5/(BY5+BX5)</f>
        <v>2.3808824712858935E-7</v>
      </c>
      <c r="CA5" s="6">
        <f>BZ5*100</f>
        <v>2.3808824712858934E-5</v>
      </c>
      <c r="CD5" s="581">
        <f t="shared" ref="CD5:CD36" si="46">IF(ABS(F5-Ioutmax_Vinnom)&lt;Iout/200, AN5, -50)</f>
        <v>-50</v>
      </c>
      <c r="CE5">
        <f t="shared" ref="CE5:CE36" si="47">IF(ABS(F5-Ioutmax_Vinnom)&lt;Iout/200, N5*BZ5, -50)</f>
        <v>-50</v>
      </c>
    </row>
    <row r="6" spans="2:83" x14ac:dyDescent="0.2">
      <c r="E6" s="176">
        <v>1</v>
      </c>
      <c r="F6" s="223">
        <f t="shared" ref="F6:F37" si="48">IF(PLOT_TYPE=1, E6/100*Iout_max, min_I*EXP(N6*rr/100))</f>
        <v>0.01</v>
      </c>
      <c r="G6" s="223"/>
      <c r="H6" s="223">
        <f t="shared" si="0"/>
        <v>0.05</v>
      </c>
      <c r="I6" s="559">
        <f t="shared" si="1"/>
        <v>24</v>
      </c>
      <c r="J6" s="178">
        <f t="shared" si="2"/>
        <v>15.899999999999999</v>
      </c>
      <c r="K6" s="454">
        <f t="shared" si="3"/>
        <v>39.9</v>
      </c>
      <c r="L6" s="454"/>
      <c r="M6" s="223">
        <f t="shared" si="4"/>
        <v>0.39849624060150374</v>
      </c>
      <c r="N6" s="178">
        <f t="shared" si="5"/>
        <v>6.4556390977443598</v>
      </c>
      <c r="O6" s="178">
        <f t="shared" ref="O6:O69" si="49">T6*F6</f>
        <v>0.05</v>
      </c>
      <c r="P6" s="223">
        <f t="shared" si="6"/>
        <v>1.291127819548872</v>
      </c>
      <c r="Q6" s="223">
        <f t="shared" si="7"/>
        <v>5</v>
      </c>
      <c r="R6" s="223">
        <f t="shared" si="8"/>
        <v>1.4345864661654135</v>
      </c>
      <c r="S6" s="178">
        <f t="shared" si="9"/>
        <v>1612.001488555346</v>
      </c>
      <c r="T6" s="178">
        <f t="shared" si="10"/>
        <v>5</v>
      </c>
      <c r="U6" s="223">
        <f t="shared" si="11"/>
        <v>1.1617749825296996E-2</v>
      </c>
      <c r="V6" s="223">
        <f t="shared" si="12"/>
        <v>1.4522187281621244E-2</v>
      </c>
      <c r="W6" s="223">
        <f t="shared" si="13"/>
        <v>2.1920282689239616E-2</v>
      </c>
      <c r="X6" s="203">
        <f t="shared" si="14"/>
        <v>350</v>
      </c>
      <c r="Y6" s="454">
        <f t="shared" ref="Y6:Y69" si="50">MIN(1/(V6+W6)*1000, 350)</f>
        <v>350</v>
      </c>
      <c r="AA6" s="223">
        <f t="shared" si="15"/>
        <v>0.91084854994629427</v>
      </c>
      <c r="AB6" s="179">
        <f t="shared" si="16"/>
        <v>1.7185821697099894</v>
      </c>
      <c r="AC6" s="179">
        <f t="shared" si="17"/>
        <v>0.82181824055304764</v>
      </c>
      <c r="AD6" s="179"/>
      <c r="AE6" s="179">
        <f t="shared" si="18"/>
        <v>0.5660377358490567</v>
      </c>
      <c r="AF6" s="563">
        <f>MAX(10, F6/(0.5*AE6/1000000*Isw_min*Nps)/1000)</f>
        <v>39.259259259259252</v>
      </c>
      <c r="AG6" s="546">
        <f t="shared" si="19"/>
        <v>8.9150943396226423E-2</v>
      </c>
      <c r="AI6" s="179">
        <f t="shared" si="20"/>
        <v>0.10591001471499858</v>
      </c>
      <c r="AJ6" s="179">
        <f t="shared" si="21"/>
        <v>0.3</v>
      </c>
      <c r="AK6" s="179">
        <f t="shared" si="22"/>
        <v>1.0224338624338625</v>
      </c>
      <c r="AM6" s="563">
        <f t="shared" si="23"/>
        <v>10</v>
      </c>
      <c r="AN6" s="472">
        <f t="shared" si="24"/>
        <v>39.259259259259252</v>
      </c>
      <c r="AP6">
        <f t="shared" si="25"/>
        <v>10</v>
      </c>
      <c r="AQ6" s="472">
        <f t="shared" si="26"/>
        <v>39.259259259259252</v>
      </c>
      <c r="AR6" s="472"/>
      <c r="AS6" s="6">
        <f t="shared" ref="AS6:AS69" si="51">1/AN6*1000</f>
        <v>25.471698113207552</v>
      </c>
      <c r="AT6" s="6">
        <f t="shared" si="27"/>
        <v>0.375</v>
      </c>
      <c r="AU6" s="6">
        <f t="shared" ref="AU6:AU69" si="52">AS6-AT6</f>
        <v>25.096698113207552</v>
      </c>
      <c r="AV6" s="6">
        <f t="shared" si="28"/>
        <v>0.5660377358490567</v>
      </c>
      <c r="AW6" s="179">
        <f t="shared" ref="AW6:AW69" si="53">AT6/AS6</f>
        <v>1.472222222222222E-2</v>
      </c>
      <c r="AX6" s="179">
        <f t="shared" si="29"/>
        <v>5.2999999999999985E-2</v>
      </c>
      <c r="AY6" s="179">
        <f t="shared" si="30"/>
        <v>0.44337499999999996</v>
      </c>
      <c r="AZ6" s="179">
        <f t="shared" ref="AZ6:AZ69" si="54">AX6/AY6</f>
        <v>0.11953763744009019</v>
      </c>
      <c r="BA6" s="472">
        <f t="shared" si="31"/>
        <v>7.4999999999999997E-2</v>
      </c>
      <c r="BB6" s="6">
        <f t="shared" si="32"/>
        <v>4.8411840496156544E-2</v>
      </c>
      <c r="BC6" s="6"/>
      <c r="BD6" s="179">
        <f t="shared" ref="BD6:BD69" si="55">AJ6*SQRT(AW6/3)</f>
        <v>2.1015867021530816E-2</v>
      </c>
      <c r="BE6" s="179">
        <f t="shared" si="33"/>
        <v>0.51577611422011382</v>
      </c>
      <c r="BF6" s="179"/>
      <c r="BG6" s="546">
        <f t="shared" si="34"/>
        <v>1.5458333333333329E-4</v>
      </c>
      <c r="BH6" s="546">
        <f t="shared" si="35"/>
        <v>3.5244999999999986E-3</v>
      </c>
      <c r="BI6" s="546">
        <f t="shared" si="36"/>
        <v>4.907407407407407E-4</v>
      </c>
      <c r="BJ6" s="546">
        <f t="shared" si="37"/>
        <v>3.1250566666666661E-3</v>
      </c>
      <c r="BK6">
        <f t="shared" si="38"/>
        <v>6.96E-3</v>
      </c>
      <c r="BL6" s="546">
        <f t="shared" si="39"/>
        <v>1.4276514185454618E-2</v>
      </c>
      <c r="BM6" s="472">
        <f t="shared" ref="BM6:BM69" si="56">BL6*1000</f>
        <v>14.276514185454618</v>
      </c>
      <c r="BN6" s="546">
        <f t="shared" si="40"/>
        <v>3.8799999999999998E-3</v>
      </c>
      <c r="BO6" s="546"/>
      <c r="BQ6" s="472">
        <f t="shared" ref="BQ6:BQ69" si="57">SUM(BN6:BP6)*1000</f>
        <v>3.88</v>
      </c>
      <c r="BR6" s="546">
        <f t="shared" si="41"/>
        <v>8.8333333333333317E-5</v>
      </c>
      <c r="BS6" s="546">
        <f t="shared" si="42"/>
        <v>1.0640999999999996E-2</v>
      </c>
      <c r="BT6" s="546">
        <f t="shared" si="43"/>
        <v>2.3802818984388882E-5</v>
      </c>
      <c r="BU6" s="546">
        <f t="shared" si="44"/>
        <v>1.2051000088073315E-2</v>
      </c>
      <c r="BV6" s="546">
        <f t="shared" si="45"/>
        <v>3.5333333333333332E-4</v>
      </c>
      <c r="BW6" s="472">
        <f t="shared" ref="BW6:BW69" si="58">1000*(BU6+BV6)</f>
        <v>12.404333421406649</v>
      </c>
      <c r="BX6" s="179">
        <f t="shared" ref="BX6:BX69" si="59">SUM(BL6,BN6:BP6,BU6, BV6)</f>
        <v>3.0560847606861265E-2</v>
      </c>
      <c r="BY6" s="6">
        <f t="shared" ref="BY6:BY69" si="60">MIN(H6,O6)</f>
        <v>0.05</v>
      </c>
      <c r="BZ6" s="179">
        <f t="shared" ref="BZ6:BZ69" si="61">BY6/(BY6+BX6)</f>
        <v>0.6206488819978796</v>
      </c>
      <c r="CA6" s="6">
        <f t="shared" ref="CA6:CA69" si="62">BZ6*100</f>
        <v>62.064888199787958</v>
      </c>
      <c r="CD6" s="581">
        <f t="shared" si="46"/>
        <v>-50</v>
      </c>
      <c r="CE6">
        <f t="shared" si="47"/>
        <v>-50</v>
      </c>
    </row>
    <row r="7" spans="2:83" x14ac:dyDescent="0.2">
      <c r="E7" s="176">
        <v>2</v>
      </c>
      <c r="F7" s="223">
        <f t="shared" si="48"/>
        <v>0.02</v>
      </c>
      <c r="G7" s="223"/>
      <c r="H7" s="223">
        <f t="shared" si="0"/>
        <v>0.1</v>
      </c>
      <c r="I7" s="559">
        <f t="shared" si="1"/>
        <v>24</v>
      </c>
      <c r="J7" s="178">
        <f t="shared" si="2"/>
        <v>15.899999999999999</v>
      </c>
      <c r="K7" s="454">
        <f t="shared" si="3"/>
        <v>39.9</v>
      </c>
      <c r="L7" s="454"/>
      <c r="M7" s="223">
        <f t="shared" si="4"/>
        <v>0.39849624060150374</v>
      </c>
      <c r="N7" s="178">
        <f t="shared" si="5"/>
        <v>6.4556390977443598</v>
      </c>
      <c r="O7" s="178">
        <f t="shared" si="49"/>
        <v>0.1</v>
      </c>
      <c r="P7" s="223">
        <f t="shared" si="6"/>
        <v>1.291127819548872</v>
      </c>
      <c r="Q7" s="223">
        <f t="shared" si="7"/>
        <v>5</v>
      </c>
      <c r="R7" s="223">
        <f t="shared" si="8"/>
        <v>1.4345864661654135</v>
      </c>
      <c r="S7" s="178">
        <f t="shared" si="9"/>
        <v>802.00299138857235</v>
      </c>
      <c r="T7" s="178">
        <f t="shared" si="10"/>
        <v>5</v>
      </c>
      <c r="U7" s="223">
        <f t="shared" si="11"/>
        <v>2.3235499650593992E-2</v>
      </c>
      <c r="V7" s="223">
        <f t="shared" si="12"/>
        <v>2.9044374563242489E-2</v>
      </c>
      <c r="W7" s="223">
        <f t="shared" si="13"/>
        <v>4.3840565378479232E-2</v>
      </c>
      <c r="X7" s="203">
        <f t="shared" si="14"/>
        <v>350</v>
      </c>
      <c r="Y7" s="454">
        <f t="shared" si="50"/>
        <v>350</v>
      </c>
      <c r="AA7" s="223">
        <f t="shared" si="15"/>
        <v>0.91084854994629427</v>
      </c>
      <c r="AB7" s="179">
        <f t="shared" si="16"/>
        <v>1.7185821697099894</v>
      </c>
      <c r="AC7" s="179">
        <f t="shared" si="17"/>
        <v>0.82181824055304764</v>
      </c>
      <c r="AD7" s="179"/>
      <c r="AE7" s="179">
        <f t="shared" si="18"/>
        <v>0.5660377358490567</v>
      </c>
      <c r="AF7" s="563">
        <f>MAX(10, F7/(0.5*AE7/1000000*Isw_min*Nps)/1000)</f>
        <v>78.518518518518505</v>
      </c>
      <c r="AG7" s="546">
        <f t="shared" si="19"/>
        <v>8.9150943396226423E-2</v>
      </c>
      <c r="AI7" s="179">
        <f t="shared" si="20"/>
        <v>0.14977937920108506</v>
      </c>
      <c r="AJ7" s="179">
        <f t="shared" si="21"/>
        <v>0.3</v>
      </c>
      <c r="AK7" s="179">
        <f t="shared" si="22"/>
        <v>1.0448677248677249</v>
      </c>
      <c r="AM7" s="563">
        <f t="shared" si="23"/>
        <v>20</v>
      </c>
      <c r="AN7" s="472">
        <f t="shared" si="24"/>
        <v>78.518518518518505</v>
      </c>
      <c r="AP7">
        <f t="shared" si="25"/>
        <v>20</v>
      </c>
      <c r="AQ7" s="472">
        <f t="shared" si="26"/>
        <v>78.518518518518505</v>
      </c>
      <c r="AR7" s="472"/>
      <c r="AS7" s="6">
        <f t="shared" si="51"/>
        <v>12.735849056603776</v>
      </c>
      <c r="AT7" s="6">
        <f t="shared" si="27"/>
        <v>0.375</v>
      </c>
      <c r="AU7" s="6">
        <f t="shared" si="52"/>
        <v>12.360849056603776</v>
      </c>
      <c r="AV7" s="6">
        <f t="shared" si="28"/>
        <v>0.5660377358490567</v>
      </c>
      <c r="AW7" s="179">
        <f t="shared" si="53"/>
        <v>2.944444444444444E-2</v>
      </c>
      <c r="AX7" s="179">
        <f t="shared" si="29"/>
        <v>0.10599999999999997</v>
      </c>
      <c r="AY7" s="179">
        <f t="shared" si="30"/>
        <v>0.43674999999999997</v>
      </c>
      <c r="AZ7" s="179">
        <f t="shared" si="54"/>
        <v>0.24270177447052083</v>
      </c>
      <c r="BA7" s="472">
        <f t="shared" si="31"/>
        <v>0.15</v>
      </c>
      <c r="BB7" s="6">
        <f t="shared" si="32"/>
        <v>4.7688460866526915E-2</v>
      </c>
      <c r="BC7" s="6"/>
      <c r="BD7" s="179">
        <f t="shared" si="55"/>
        <v>2.9720924166878344E-2</v>
      </c>
      <c r="BE7" s="179">
        <f t="shared" si="33"/>
        <v>0.51190819489435802</v>
      </c>
      <c r="BF7" s="179"/>
      <c r="BG7" s="546">
        <f t="shared" si="34"/>
        <v>3.0916666666666657E-4</v>
      </c>
      <c r="BH7" s="546">
        <f t="shared" si="35"/>
        <v>7.0489999999999971E-3</v>
      </c>
      <c r="BI7" s="546">
        <f t="shared" si="36"/>
        <v>9.814814814814814E-4</v>
      </c>
      <c r="BJ7" s="546">
        <f t="shared" si="37"/>
        <v>6.2501133333333321E-3</v>
      </c>
      <c r="BK7">
        <f t="shared" si="38"/>
        <v>6.96E-3</v>
      </c>
      <c r="BL7" s="546">
        <f t="shared" si="39"/>
        <v>2.1593812245610553E-2</v>
      </c>
      <c r="BM7" s="472">
        <f t="shared" si="56"/>
        <v>21.593812245610554</v>
      </c>
      <c r="BN7" s="546">
        <f t="shared" si="40"/>
        <v>7.7599999999999995E-3</v>
      </c>
      <c r="BO7" s="546"/>
      <c r="BQ7" s="472">
        <f t="shared" si="57"/>
        <v>7.76</v>
      </c>
      <c r="BR7" s="546">
        <f t="shared" si="41"/>
        <v>1.7666666666666666E-4</v>
      </c>
      <c r="BS7" s="546">
        <f t="shared" si="42"/>
        <v>1.0482E-2</v>
      </c>
      <c r="BT7" s="546">
        <f t="shared" si="43"/>
        <v>1.3464907772173807E-4</v>
      </c>
      <c r="BU7" s="546">
        <f t="shared" si="44"/>
        <v>1.2082658546780188E-2</v>
      </c>
      <c r="BV7" s="546">
        <f t="shared" si="45"/>
        <v>7.0666666666666664E-4</v>
      </c>
      <c r="BW7" s="472">
        <f t="shared" si="58"/>
        <v>12.789325213446855</v>
      </c>
      <c r="BX7" s="179">
        <f t="shared" si="59"/>
        <v>4.2143137459057407E-2</v>
      </c>
      <c r="BY7" s="6">
        <f t="shared" si="60"/>
        <v>0.1</v>
      </c>
      <c r="BZ7" s="179">
        <f t="shared" si="61"/>
        <v>0.70351620055385211</v>
      </c>
      <c r="CA7" s="6">
        <f t="shared" si="62"/>
        <v>70.351620055385212</v>
      </c>
      <c r="CD7" s="581">
        <f t="shared" si="46"/>
        <v>-50</v>
      </c>
      <c r="CE7">
        <f t="shared" si="47"/>
        <v>-50</v>
      </c>
    </row>
    <row r="8" spans="2:83" x14ac:dyDescent="0.2">
      <c r="E8" s="176">
        <v>3</v>
      </c>
      <c r="F8" s="223">
        <f t="shared" si="48"/>
        <v>0.03</v>
      </c>
      <c r="G8" s="223"/>
      <c r="H8" s="223">
        <f t="shared" si="0"/>
        <v>0.15</v>
      </c>
      <c r="I8" s="559">
        <f t="shared" si="1"/>
        <v>24</v>
      </c>
      <c r="J8" s="178">
        <f t="shared" si="2"/>
        <v>15.899999999999999</v>
      </c>
      <c r="K8" s="454">
        <f t="shared" si="3"/>
        <v>39.9</v>
      </c>
      <c r="L8" s="454"/>
      <c r="M8" s="223">
        <f t="shared" si="4"/>
        <v>0.39849624060150374</v>
      </c>
      <c r="N8" s="178">
        <f t="shared" si="5"/>
        <v>6.4556390977443598</v>
      </c>
      <c r="O8" s="178">
        <f t="shared" si="49"/>
        <v>0.15</v>
      </c>
      <c r="P8" s="223">
        <f t="shared" si="6"/>
        <v>1.291127819548872</v>
      </c>
      <c r="Q8" s="223">
        <f t="shared" si="7"/>
        <v>5</v>
      </c>
      <c r="R8" s="223">
        <f t="shared" si="8"/>
        <v>1.4345864661654135</v>
      </c>
      <c r="S8" s="178">
        <f t="shared" si="9"/>
        <v>532.00450869748568</v>
      </c>
      <c r="T8" s="178">
        <f t="shared" si="10"/>
        <v>5</v>
      </c>
      <c r="U8" s="223">
        <f t="shared" si="11"/>
        <v>3.4853249475890982E-2</v>
      </c>
      <c r="V8" s="223">
        <f t="shared" si="12"/>
        <v>4.3566561844863724E-2</v>
      </c>
      <c r="W8" s="223">
        <f t="shared" si="13"/>
        <v>6.5760848067718841E-2</v>
      </c>
      <c r="X8" s="203">
        <f t="shared" si="14"/>
        <v>350</v>
      </c>
      <c r="Y8" s="454">
        <f t="shared" si="50"/>
        <v>350</v>
      </c>
      <c r="AA8" s="223">
        <f t="shared" si="15"/>
        <v>0.91084854994629427</v>
      </c>
      <c r="AB8" s="179">
        <f t="shared" si="16"/>
        <v>1.7185821697099894</v>
      </c>
      <c r="AC8" s="179">
        <f t="shared" si="17"/>
        <v>0.82181824055304764</v>
      </c>
      <c r="AD8" s="179"/>
      <c r="AE8" s="179">
        <f t="shared" si="18"/>
        <v>0.5660377358490567</v>
      </c>
      <c r="AF8" s="563">
        <f t="shared" ref="AF8:AF39" si="63">MAX(10000,F8/(0.5*AE8/1000000*Isw_min*Nps))/1000</f>
        <v>117.77777777777776</v>
      </c>
      <c r="AG8" s="546">
        <f t="shared" si="19"/>
        <v>8.9150943396226423E-2</v>
      </c>
      <c r="AI8" s="179">
        <f t="shared" si="20"/>
        <v>0.18344152651674497</v>
      </c>
      <c r="AJ8" s="179">
        <f t="shared" si="21"/>
        <v>0.3</v>
      </c>
      <c r="AK8" s="179">
        <f t="shared" si="22"/>
        <v>1.0673015873015872</v>
      </c>
      <c r="AM8" s="563">
        <f t="shared" si="23"/>
        <v>30</v>
      </c>
      <c r="AN8" s="472">
        <f t="shared" si="24"/>
        <v>117.77777777777776</v>
      </c>
      <c r="AP8">
        <f t="shared" si="25"/>
        <v>30</v>
      </c>
      <c r="AQ8" s="472">
        <f t="shared" si="26"/>
        <v>117.77777777777776</v>
      </c>
      <c r="AR8" s="472"/>
      <c r="AS8" s="6">
        <f t="shared" si="51"/>
        <v>8.4905660377358512</v>
      </c>
      <c r="AT8" s="6">
        <f t="shared" si="27"/>
        <v>0.375</v>
      </c>
      <c r="AU8" s="6">
        <f t="shared" si="52"/>
        <v>8.1155660377358512</v>
      </c>
      <c r="AV8" s="6">
        <f t="shared" si="28"/>
        <v>0.5660377358490567</v>
      </c>
      <c r="AW8" s="179">
        <f t="shared" si="53"/>
        <v>4.4166666666666653E-2</v>
      </c>
      <c r="AX8" s="179">
        <f t="shared" si="29"/>
        <v>0.15899999999999997</v>
      </c>
      <c r="AY8" s="179">
        <f t="shared" si="30"/>
        <v>0.43012499999999992</v>
      </c>
      <c r="AZ8" s="179">
        <f t="shared" si="54"/>
        <v>0.36965998256320837</v>
      </c>
      <c r="BA8" s="472">
        <f t="shared" si="31"/>
        <v>0.22500000000000001</v>
      </c>
      <c r="BB8" s="6">
        <f t="shared" si="32"/>
        <v>4.6965081236897278E-2</v>
      </c>
      <c r="BC8" s="6"/>
      <c r="BD8" s="179">
        <f t="shared" si="55"/>
        <v>3.6400549446402586E-2</v>
      </c>
      <c r="BE8" s="179">
        <f t="shared" si="33"/>
        <v>0.50801082665628294</v>
      </c>
      <c r="BF8" s="179"/>
      <c r="BG8" s="546">
        <f t="shared" si="34"/>
        <v>4.6374999999999981E-4</v>
      </c>
      <c r="BH8" s="546">
        <f t="shared" si="35"/>
        <v>1.0573499999999998E-2</v>
      </c>
      <c r="BI8" s="546">
        <f t="shared" si="36"/>
        <v>1.4722222222222218E-3</v>
      </c>
      <c r="BJ8" s="546">
        <f t="shared" si="37"/>
        <v>9.3751699999999969E-3</v>
      </c>
      <c r="BK8">
        <f t="shared" si="38"/>
        <v>6.96E-3</v>
      </c>
      <c r="BL8" s="546">
        <f t="shared" si="39"/>
        <v>2.8911894306448385E-2</v>
      </c>
      <c r="BM8" s="472">
        <f t="shared" si="56"/>
        <v>28.911894306448385</v>
      </c>
      <c r="BN8" s="546">
        <f t="shared" si="40"/>
        <v>1.1639999999999999E-2</v>
      </c>
      <c r="BO8" s="546"/>
      <c r="BQ8" s="472">
        <f t="shared" si="57"/>
        <v>11.639999999999999</v>
      </c>
      <c r="BR8" s="546">
        <f t="shared" si="41"/>
        <v>2.6499999999999994E-4</v>
      </c>
      <c r="BS8" s="546">
        <f t="shared" si="42"/>
        <v>1.0322999999999997E-2</v>
      </c>
      <c r="BT8" s="546">
        <f t="shared" si="43"/>
        <v>3.7104922659893897E-4</v>
      </c>
      <c r="BU8" s="546">
        <f t="shared" si="44"/>
        <v>1.2239976976697278E-2</v>
      </c>
      <c r="BV8" s="546">
        <f t="shared" si="45"/>
        <v>1.06E-3</v>
      </c>
      <c r="BW8" s="472">
        <f t="shared" si="58"/>
        <v>13.299976976697279</v>
      </c>
      <c r="BX8" s="179">
        <f t="shared" si="59"/>
        <v>5.3851871283145662E-2</v>
      </c>
      <c r="BY8" s="6">
        <f t="shared" si="60"/>
        <v>0.15</v>
      </c>
      <c r="BZ8" s="179">
        <f t="shared" si="61"/>
        <v>0.73582841823243983</v>
      </c>
      <c r="CA8" s="6">
        <f t="shared" si="62"/>
        <v>73.582841823243982</v>
      </c>
      <c r="CD8" s="581">
        <f t="shared" si="46"/>
        <v>-50</v>
      </c>
      <c r="CE8">
        <f t="shared" si="47"/>
        <v>-50</v>
      </c>
    </row>
    <row r="9" spans="2:83" x14ac:dyDescent="0.2">
      <c r="E9" s="176">
        <v>4</v>
      </c>
      <c r="F9" s="223">
        <f t="shared" si="48"/>
        <v>0.04</v>
      </c>
      <c r="G9" s="223"/>
      <c r="H9" s="223">
        <f t="shared" si="0"/>
        <v>0.2</v>
      </c>
      <c r="I9" s="559">
        <f t="shared" si="1"/>
        <v>24</v>
      </c>
      <c r="J9" s="178">
        <f t="shared" si="2"/>
        <v>15.899999999999999</v>
      </c>
      <c r="K9" s="454">
        <f t="shared" si="3"/>
        <v>39.9</v>
      </c>
      <c r="L9" s="454"/>
      <c r="M9" s="223">
        <f t="shared" si="4"/>
        <v>0.39849624060150374</v>
      </c>
      <c r="N9" s="178">
        <f t="shared" si="5"/>
        <v>6.4556390977443598</v>
      </c>
      <c r="O9" s="178">
        <f t="shared" si="49"/>
        <v>0.2</v>
      </c>
      <c r="P9" s="223">
        <f t="shared" si="6"/>
        <v>1.291127819548872</v>
      </c>
      <c r="Q9" s="223">
        <f t="shared" si="7"/>
        <v>5</v>
      </c>
      <c r="R9" s="223">
        <f t="shared" si="8"/>
        <v>1.4345864661654135</v>
      </c>
      <c r="S9" s="178">
        <f t="shared" si="9"/>
        <v>397.00604068338822</v>
      </c>
      <c r="T9" s="178">
        <f t="shared" si="10"/>
        <v>5</v>
      </c>
      <c r="U9" s="223">
        <f t="shared" si="11"/>
        <v>4.6470999301187983E-2</v>
      </c>
      <c r="V9" s="223">
        <f t="shared" si="12"/>
        <v>5.8088749126484977E-2</v>
      </c>
      <c r="W9" s="223">
        <f t="shared" si="13"/>
        <v>8.7681130756958464E-2</v>
      </c>
      <c r="X9" s="203">
        <f t="shared" si="14"/>
        <v>350</v>
      </c>
      <c r="Y9" s="454">
        <f t="shared" si="50"/>
        <v>350</v>
      </c>
      <c r="AA9" s="223">
        <f t="shared" si="15"/>
        <v>0.91084854994629427</v>
      </c>
      <c r="AB9" s="179">
        <f t="shared" si="16"/>
        <v>1.7185821697099894</v>
      </c>
      <c r="AC9" s="179">
        <f t="shared" si="17"/>
        <v>0.82181824055304764</v>
      </c>
      <c r="AD9" s="179"/>
      <c r="AE9" s="179">
        <f t="shared" si="18"/>
        <v>0.5660377358490567</v>
      </c>
      <c r="AF9" s="563">
        <f t="shared" si="63"/>
        <v>157.03703703703701</v>
      </c>
      <c r="AG9" s="546">
        <f t="shared" si="19"/>
        <v>8.9150943396226423E-2</v>
      </c>
      <c r="AI9" s="179">
        <f t="shared" si="20"/>
        <v>0.21182002942999717</v>
      </c>
      <c r="AJ9" s="179">
        <f t="shared" si="21"/>
        <v>0.3</v>
      </c>
      <c r="AK9" s="179">
        <f t="shared" si="22"/>
        <v>1.0897354497354497</v>
      </c>
      <c r="AM9" s="563">
        <f t="shared" si="23"/>
        <v>40</v>
      </c>
      <c r="AN9" s="472">
        <f t="shared" si="24"/>
        <v>157.03703703703701</v>
      </c>
      <c r="AP9">
        <f t="shared" si="25"/>
        <v>40</v>
      </c>
      <c r="AQ9" s="472">
        <f t="shared" si="26"/>
        <v>157.03703703703701</v>
      </c>
      <c r="AR9" s="472"/>
      <c r="AS9" s="6">
        <f t="shared" si="51"/>
        <v>6.3679245283018879</v>
      </c>
      <c r="AT9" s="6">
        <f t="shared" si="27"/>
        <v>0.375</v>
      </c>
      <c r="AU9" s="6">
        <f t="shared" si="52"/>
        <v>5.9929245283018879</v>
      </c>
      <c r="AV9" s="6">
        <f t="shared" si="28"/>
        <v>0.5660377358490567</v>
      </c>
      <c r="AW9" s="179">
        <f t="shared" si="53"/>
        <v>5.888888888888888E-2</v>
      </c>
      <c r="AX9" s="179">
        <f t="shared" si="29"/>
        <v>0.21199999999999994</v>
      </c>
      <c r="AY9" s="179">
        <f t="shared" si="30"/>
        <v>0.42349999999999999</v>
      </c>
      <c r="AZ9" s="179">
        <f t="shared" si="54"/>
        <v>0.50059031877213678</v>
      </c>
      <c r="BA9" s="472">
        <f t="shared" si="31"/>
        <v>0.3</v>
      </c>
      <c r="BB9" s="6">
        <f t="shared" si="32"/>
        <v>4.6241701607267656E-2</v>
      </c>
      <c r="BC9" s="6"/>
      <c r="BD9" s="179">
        <f t="shared" si="55"/>
        <v>4.2031734043061632E-2</v>
      </c>
      <c r="BE9" s="179">
        <f t="shared" si="33"/>
        <v>0.50408332644514231</v>
      </c>
      <c r="BF9" s="179"/>
      <c r="BG9" s="546">
        <f t="shared" si="34"/>
        <v>6.1833333333333315E-4</v>
      </c>
      <c r="BH9" s="546">
        <f t="shared" si="35"/>
        <v>1.4097999999999994E-2</v>
      </c>
      <c r="BI9" s="546">
        <f t="shared" si="36"/>
        <v>1.9629629629629628E-3</v>
      </c>
      <c r="BJ9" s="546">
        <f t="shared" si="37"/>
        <v>1.2500226666666664E-2</v>
      </c>
      <c r="BK9">
        <f t="shared" si="38"/>
        <v>6.96E-3</v>
      </c>
      <c r="BL9" s="546">
        <f t="shared" si="39"/>
        <v>3.6230760493975687E-2</v>
      </c>
      <c r="BM9" s="472">
        <f t="shared" si="56"/>
        <v>36.230760493975687</v>
      </c>
      <c r="BN9" s="546">
        <f t="shared" si="40"/>
        <v>1.5519999999999999E-2</v>
      </c>
      <c r="BO9" s="546"/>
      <c r="BQ9" s="472">
        <f t="shared" si="57"/>
        <v>15.52</v>
      </c>
      <c r="BR9" s="546">
        <f t="shared" si="41"/>
        <v>3.5333333333333327E-4</v>
      </c>
      <c r="BS9" s="546">
        <f t="shared" si="42"/>
        <v>1.0163999999999996E-2</v>
      </c>
      <c r="BT9" s="546">
        <f t="shared" si="43"/>
        <v>7.6169020750044324E-4</v>
      </c>
      <c r="BU9" s="546">
        <f t="shared" si="44"/>
        <v>1.2551664343857171E-2</v>
      </c>
      <c r="BV9" s="546">
        <f t="shared" si="45"/>
        <v>1.4133333333333333E-3</v>
      </c>
      <c r="BW9" s="472">
        <f t="shared" si="58"/>
        <v>13.964997677190505</v>
      </c>
      <c r="BX9" s="179">
        <f t="shared" si="59"/>
        <v>6.5715758171166191E-2</v>
      </c>
      <c r="BY9" s="6">
        <f t="shared" si="60"/>
        <v>0.2</v>
      </c>
      <c r="BZ9" s="179">
        <f t="shared" si="61"/>
        <v>0.7526840010413155</v>
      </c>
      <c r="CA9" s="6">
        <f t="shared" si="62"/>
        <v>75.268400104131544</v>
      </c>
      <c r="CD9" s="581">
        <f t="shared" si="46"/>
        <v>-50</v>
      </c>
      <c r="CE9">
        <f t="shared" si="47"/>
        <v>-50</v>
      </c>
    </row>
    <row r="10" spans="2:83" x14ac:dyDescent="0.2">
      <c r="E10" s="176">
        <v>5</v>
      </c>
      <c r="F10" s="223">
        <f t="shared" si="48"/>
        <v>0.05</v>
      </c>
      <c r="G10" s="223"/>
      <c r="H10" s="223">
        <f t="shared" si="0"/>
        <v>0.25</v>
      </c>
      <c r="I10" s="559">
        <f t="shared" si="1"/>
        <v>24</v>
      </c>
      <c r="J10" s="178">
        <f t="shared" si="2"/>
        <v>15.899999999999999</v>
      </c>
      <c r="K10" s="454">
        <f t="shared" si="3"/>
        <v>39.9</v>
      </c>
      <c r="L10" s="454"/>
      <c r="M10" s="223">
        <f t="shared" si="4"/>
        <v>0.39849624060150374</v>
      </c>
      <c r="N10" s="178">
        <f t="shared" si="5"/>
        <v>6.4556390977443598</v>
      </c>
      <c r="O10" s="178">
        <f t="shared" si="49"/>
        <v>0.25</v>
      </c>
      <c r="P10" s="223">
        <f t="shared" si="6"/>
        <v>1.291127819548872</v>
      </c>
      <c r="Q10" s="223">
        <f t="shared" si="7"/>
        <v>5</v>
      </c>
      <c r="R10" s="223">
        <f t="shared" si="8"/>
        <v>1.4345864661654135</v>
      </c>
      <c r="S10" s="178">
        <f t="shared" si="9"/>
        <v>316.007587551151</v>
      </c>
      <c r="T10" s="178">
        <f t="shared" si="10"/>
        <v>5</v>
      </c>
      <c r="U10" s="223">
        <f t="shared" si="11"/>
        <v>5.808874912648497E-2</v>
      </c>
      <c r="V10" s="223">
        <f t="shared" si="12"/>
        <v>7.2610936408106216E-2</v>
      </c>
      <c r="W10" s="223">
        <f t="shared" si="13"/>
        <v>0.10960141344619806</v>
      </c>
      <c r="X10" s="203">
        <f t="shared" si="14"/>
        <v>350</v>
      </c>
      <c r="Y10" s="454">
        <f t="shared" si="50"/>
        <v>350</v>
      </c>
      <c r="AA10" s="223">
        <f t="shared" si="15"/>
        <v>0.91084854994629427</v>
      </c>
      <c r="AB10" s="179">
        <f t="shared" si="16"/>
        <v>1.7185821697099894</v>
      </c>
      <c r="AC10" s="179">
        <f t="shared" si="17"/>
        <v>0.82181824055304764</v>
      </c>
      <c r="AD10" s="179"/>
      <c r="AE10" s="179">
        <f t="shared" si="18"/>
        <v>0.5660377358490567</v>
      </c>
      <c r="AF10" s="563">
        <f t="shared" si="63"/>
        <v>196.29629629629628</v>
      </c>
      <c r="AG10" s="546">
        <f t="shared" si="19"/>
        <v>8.9150943396226423E-2</v>
      </c>
      <c r="AI10" s="179">
        <f t="shared" si="20"/>
        <v>0.23682199240073984</v>
      </c>
      <c r="AJ10" s="179">
        <f t="shared" si="21"/>
        <v>0.3</v>
      </c>
      <c r="AK10" s="179">
        <f t="shared" si="22"/>
        <v>1.1121693121693121</v>
      </c>
      <c r="AM10" s="563">
        <f t="shared" si="23"/>
        <v>50</v>
      </c>
      <c r="AN10" s="472">
        <f t="shared" si="24"/>
        <v>196.29629629629628</v>
      </c>
      <c r="AP10">
        <f t="shared" si="25"/>
        <v>50</v>
      </c>
      <c r="AQ10" s="472">
        <f t="shared" si="26"/>
        <v>196.29629629629628</v>
      </c>
      <c r="AR10" s="472"/>
      <c r="AS10" s="6">
        <f t="shared" si="51"/>
        <v>5.0943396226415105</v>
      </c>
      <c r="AT10" s="6">
        <f t="shared" si="27"/>
        <v>0.375</v>
      </c>
      <c r="AU10" s="6">
        <f t="shared" si="52"/>
        <v>4.7193396226415105</v>
      </c>
      <c r="AV10" s="6">
        <f t="shared" si="28"/>
        <v>0.5660377358490567</v>
      </c>
      <c r="AW10" s="179">
        <f t="shared" si="53"/>
        <v>7.3611111111111099E-2</v>
      </c>
      <c r="AX10" s="179">
        <f t="shared" si="29"/>
        <v>0.26500000000000001</v>
      </c>
      <c r="AY10" s="179">
        <f t="shared" si="30"/>
        <v>0.416875</v>
      </c>
      <c r="AZ10" s="179">
        <f t="shared" si="54"/>
        <v>0.63568215892053981</v>
      </c>
      <c r="BA10" s="472">
        <f t="shared" si="31"/>
        <v>0.37500000000000006</v>
      </c>
      <c r="BB10" s="6">
        <f t="shared" si="32"/>
        <v>4.551832197763802E-2</v>
      </c>
      <c r="BC10" s="6"/>
      <c r="BD10" s="179">
        <f t="shared" si="55"/>
        <v>4.6992907266238941E-2</v>
      </c>
      <c r="BE10" s="179">
        <f t="shared" si="33"/>
        <v>0.50012498437890496</v>
      </c>
      <c r="BF10" s="179"/>
      <c r="BG10" s="546">
        <f t="shared" si="34"/>
        <v>7.7291666666666633E-4</v>
      </c>
      <c r="BH10" s="546">
        <f t="shared" si="35"/>
        <v>1.7622499999999992E-2</v>
      </c>
      <c r="BI10" s="546">
        <f t="shared" si="36"/>
        <v>2.4537037037037036E-3</v>
      </c>
      <c r="BJ10" s="546">
        <f t="shared" si="37"/>
        <v>1.562528333333333E-2</v>
      </c>
      <c r="BK10">
        <f t="shared" si="38"/>
        <v>6.96E-3</v>
      </c>
      <c r="BL10" s="546">
        <f t="shared" si="39"/>
        <v>4.3550410934227055E-2</v>
      </c>
      <c r="BM10" s="472">
        <f t="shared" si="56"/>
        <v>43.550410934227052</v>
      </c>
      <c r="BN10" s="546">
        <f t="shared" si="40"/>
        <v>1.9400000000000004E-2</v>
      </c>
      <c r="BO10" s="546"/>
      <c r="BQ10" s="472">
        <f t="shared" si="57"/>
        <v>19.400000000000006</v>
      </c>
      <c r="BR10" s="546">
        <f t="shared" si="41"/>
        <v>4.4166666666666654E-4</v>
      </c>
      <c r="BS10" s="546">
        <f t="shared" si="42"/>
        <v>1.0004999999999998E-2</v>
      </c>
      <c r="BT10" s="546">
        <f t="shared" si="43"/>
        <v>1.330618032630401E-3</v>
      </c>
      <c r="BU10" s="546">
        <f t="shared" si="44"/>
        <v>1.3041784153039899E-2</v>
      </c>
      <c r="BV10" s="546">
        <f t="shared" si="45"/>
        <v>1.7666666666666668E-3</v>
      </c>
      <c r="BW10" s="472">
        <f t="shared" si="58"/>
        <v>14.808450819706566</v>
      </c>
      <c r="BX10" s="179">
        <f t="shared" si="59"/>
        <v>7.7758861753933622E-2</v>
      </c>
      <c r="BY10" s="6">
        <f t="shared" si="60"/>
        <v>0.25</v>
      </c>
      <c r="BZ10" s="179">
        <f t="shared" si="61"/>
        <v>0.76275588297499197</v>
      </c>
      <c r="CA10" s="6">
        <f t="shared" si="62"/>
        <v>76.275588297499198</v>
      </c>
      <c r="CD10" s="581">
        <f t="shared" si="46"/>
        <v>-50</v>
      </c>
      <c r="CE10">
        <f t="shared" si="47"/>
        <v>-50</v>
      </c>
    </row>
    <row r="11" spans="2:83" x14ac:dyDescent="0.2">
      <c r="E11" s="176">
        <v>6</v>
      </c>
      <c r="F11" s="223">
        <f t="shared" si="48"/>
        <v>0.06</v>
      </c>
      <c r="G11" s="223"/>
      <c r="H11" s="223">
        <f t="shared" si="0"/>
        <v>0.3</v>
      </c>
      <c r="I11" s="559">
        <f t="shared" si="1"/>
        <v>24</v>
      </c>
      <c r="J11" s="178">
        <f t="shared" si="2"/>
        <v>15.899999999999999</v>
      </c>
      <c r="K11" s="454">
        <f t="shared" si="3"/>
        <v>39.9</v>
      </c>
      <c r="L11" s="454"/>
      <c r="M11" s="223">
        <f t="shared" si="4"/>
        <v>0.39849624060150374</v>
      </c>
      <c r="N11" s="178">
        <f t="shared" si="5"/>
        <v>6.4556390977443598</v>
      </c>
      <c r="O11" s="178">
        <f t="shared" si="49"/>
        <v>0.3</v>
      </c>
      <c r="P11" s="223">
        <f t="shared" si="6"/>
        <v>1.291127819548872</v>
      </c>
      <c r="Q11" s="223">
        <f t="shared" si="7"/>
        <v>5</v>
      </c>
      <c r="R11" s="223">
        <f t="shared" si="8"/>
        <v>1.4345864661654135</v>
      </c>
      <c r="S11" s="178">
        <f t="shared" si="9"/>
        <v>262.00914950928887</v>
      </c>
      <c r="T11" s="178">
        <f t="shared" si="10"/>
        <v>5</v>
      </c>
      <c r="U11" s="223">
        <f t="shared" si="11"/>
        <v>6.9706498951781964E-2</v>
      </c>
      <c r="V11" s="223">
        <f t="shared" si="12"/>
        <v>8.7133123689727449E-2</v>
      </c>
      <c r="W11" s="223">
        <f t="shared" si="13"/>
        <v>0.13152169613543768</v>
      </c>
      <c r="X11" s="203">
        <f t="shared" si="14"/>
        <v>350</v>
      </c>
      <c r="Y11" s="454">
        <f t="shared" si="50"/>
        <v>350</v>
      </c>
      <c r="AA11" s="223">
        <f t="shared" si="15"/>
        <v>0.91084854994629427</v>
      </c>
      <c r="AB11" s="179">
        <f t="shared" si="16"/>
        <v>1.7185821697099894</v>
      </c>
      <c r="AC11" s="179">
        <f t="shared" si="17"/>
        <v>0.82181824055304764</v>
      </c>
      <c r="AD11" s="179"/>
      <c r="AE11" s="179">
        <f t="shared" si="18"/>
        <v>0.5660377358490567</v>
      </c>
      <c r="AF11" s="563">
        <f t="shared" si="63"/>
        <v>235.55555555555551</v>
      </c>
      <c r="AG11" s="546">
        <f t="shared" si="19"/>
        <v>8.9150943396226423E-2</v>
      </c>
      <c r="AI11" s="179">
        <f t="shared" si="20"/>
        <v>0.2594254947024045</v>
      </c>
      <c r="AJ11" s="179">
        <f t="shared" si="21"/>
        <v>0.3</v>
      </c>
      <c r="AK11" s="179">
        <f t="shared" si="22"/>
        <v>1.1346031746031746</v>
      </c>
      <c r="AM11" s="563">
        <f t="shared" si="23"/>
        <v>60</v>
      </c>
      <c r="AN11" s="472">
        <f t="shared" si="24"/>
        <v>235.55555555555551</v>
      </c>
      <c r="AP11">
        <f t="shared" si="25"/>
        <v>60</v>
      </c>
      <c r="AQ11" s="472">
        <f t="shared" si="26"/>
        <v>235.55555555555551</v>
      </c>
      <c r="AR11" s="472"/>
      <c r="AS11" s="6">
        <f t="shared" si="51"/>
        <v>4.2452830188679256</v>
      </c>
      <c r="AT11" s="6">
        <f t="shared" si="27"/>
        <v>0.375</v>
      </c>
      <c r="AU11" s="6">
        <f t="shared" si="52"/>
        <v>3.8702830188679256</v>
      </c>
      <c r="AV11" s="6">
        <f t="shared" si="28"/>
        <v>0.5660377358490567</v>
      </c>
      <c r="AW11" s="179">
        <f t="shared" si="53"/>
        <v>8.8333333333333305E-2</v>
      </c>
      <c r="AX11" s="179">
        <f t="shared" si="29"/>
        <v>0.31799999999999995</v>
      </c>
      <c r="AY11" s="179">
        <f t="shared" si="30"/>
        <v>0.41025</v>
      </c>
      <c r="AZ11" s="179">
        <f t="shared" si="54"/>
        <v>0.77513711151736731</v>
      </c>
      <c r="BA11" s="472">
        <f t="shared" si="31"/>
        <v>0.45</v>
      </c>
      <c r="BB11" s="6">
        <f t="shared" si="32"/>
        <v>4.479494234800839E-2</v>
      </c>
      <c r="BC11" s="6"/>
      <c r="BD11" s="179">
        <f t="shared" si="55"/>
        <v>5.1478150704934993E-2</v>
      </c>
      <c r="BE11" s="179">
        <f t="shared" si="33"/>
        <v>0.49613506225623683</v>
      </c>
      <c r="BF11" s="179"/>
      <c r="BG11" s="546">
        <f t="shared" si="34"/>
        <v>9.2749999999999961E-4</v>
      </c>
      <c r="BH11" s="546">
        <f t="shared" si="35"/>
        <v>2.1146999999999996E-2</v>
      </c>
      <c r="BI11" s="546">
        <f t="shared" si="36"/>
        <v>2.9444444444444435E-3</v>
      </c>
      <c r="BJ11" s="546">
        <f t="shared" si="37"/>
        <v>1.8750339999999994E-2</v>
      </c>
      <c r="BK11">
        <f t="shared" si="38"/>
        <v>6.96E-3</v>
      </c>
      <c r="BL11" s="546">
        <f t="shared" si="39"/>
        <v>5.087084575326406E-2</v>
      </c>
      <c r="BM11" s="472">
        <f t="shared" si="56"/>
        <v>50.870845753264064</v>
      </c>
      <c r="BN11" s="546">
        <f t="shared" si="40"/>
        <v>2.3279999999999999E-2</v>
      </c>
      <c r="BO11" s="546"/>
      <c r="BQ11" s="472">
        <f t="shared" si="57"/>
        <v>23.279999999999998</v>
      </c>
      <c r="BR11" s="546">
        <f t="shared" si="41"/>
        <v>5.2999999999999987E-4</v>
      </c>
      <c r="BS11" s="546">
        <f t="shared" si="42"/>
        <v>9.8459999999999989E-3</v>
      </c>
      <c r="BT11" s="546">
        <f t="shared" si="43"/>
        <v>2.0989713942570678E-3</v>
      </c>
      <c r="BU11" s="546">
        <f t="shared" si="44"/>
        <v>1.3731489629168446E-2</v>
      </c>
      <c r="BV11" s="546">
        <f t="shared" si="45"/>
        <v>2.1199999999999999E-3</v>
      </c>
      <c r="BW11" s="472">
        <f t="shared" si="58"/>
        <v>15.851489629168446</v>
      </c>
      <c r="BX11" s="179">
        <f t="shared" si="59"/>
        <v>9.0002335382432505E-2</v>
      </c>
      <c r="BY11" s="6">
        <f t="shared" si="60"/>
        <v>0.3</v>
      </c>
      <c r="BZ11" s="179">
        <f t="shared" si="61"/>
        <v>0.76922616298136492</v>
      </c>
      <c r="CA11" s="6">
        <f t="shared" si="62"/>
        <v>76.922616298136489</v>
      </c>
      <c r="CD11" s="581">
        <f t="shared" si="46"/>
        <v>-50</v>
      </c>
      <c r="CE11">
        <f t="shared" si="47"/>
        <v>-50</v>
      </c>
    </row>
    <row r="12" spans="2:83" x14ac:dyDescent="0.2">
      <c r="E12" s="176">
        <v>7</v>
      </c>
      <c r="F12" s="223">
        <f t="shared" si="48"/>
        <v>7.0000000000000007E-2</v>
      </c>
      <c r="G12" s="223"/>
      <c r="H12" s="223">
        <f t="shared" si="0"/>
        <v>0.35000000000000003</v>
      </c>
      <c r="I12" s="559">
        <f t="shared" si="1"/>
        <v>24</v>
      </c>
      <c r="J12" s="178">
        <f t="shared" si="2"/>
        <v>15.899999999999999</v>
      </c>
      <c r="K12" s="454">
        <f t="shared" si="3"/>
        <v>39.9</v>
      </c>
      <c r="L12" s="454"/>
      <c r="M12" s="223">
        <f t="shared" si="4"/>
        <v>0.39849624060150374</v>
      </c>
      <c r="N12" s="178">
        <f t="shared" si="5"/>
        <v>6.4556390977443598</v>
      </c>
      <c r="O12" s="178">
        <f t="shared" si="49"/>
        <v>0.35000000000000003</v>
      </c>
      <c r="P12" s="223">
        <f t="shared" si="6"/>
        <v>1.291127819548872</v>
      </c>
      <c r="Q12" s="223">
        <f t="shared" si="7"/>
        <v>5</v>
      </c>
      <c r="R12" s="223">
        <f t="shared" si="8"/>
        <v>1.4345864661654135</v>
      </c>
      <c r="S12" s="178">
        <f t="shared" si="9"/>
        <v>223.43929819860836</v>
      </c>
      <c r="T12" s="178">
        <f t="shared" si="10"/>
        <v>5</v>
      </c>
      <c r="U12" s="223">
        <f t="shared" si="11"/>
        <v>8.1324248777078972E-2</v>
      </c>
      <c r="V12" s="223">
        <f t="shared" si="12"/>
        <v>0.10165531097134871</v>
      </c>
      <c r="W12" s="223">
        <f t="shared" si="13"/>
        <v>0.15344197882467731</v>
      </c>
      <c r="X12" s="203">
        <f t="shared" si="14"/>
        <v>350</v>
      </c>
      <c r="Y12" s="454">
        <f t="shared" si="50"/>
        <v>350</v>
      </c>
      <c r="AA12" s="223">
        <f t="shared" si="15"/>
        <v>0.91084854994629427</v>
      </c>
      <c r="AB12" s="179">
        <f t="shared" si="16"/>
        <v>1.7185821697099894</v>
      </c>
      <c r="AC12" s="179">
        <f t="shared" si="17"/>
        <v>0.82181824055304764</v>
      </c>
      <c r="AD12" s="179"/>
      <c r="AE12" s="179">
        <f t="shared" si="18"/>
        <v>0.5660377358490567</v>
      </c>
      <c r="AF12" s="563">
        <f t="shared" si="63"/>
        <v>274.81481481481478</v>
      </c>
      <c r="AG12" s="546">
        <f t="shared" si="19"/>
        <v>8.9150943396226423E-2</v>
      </c>
      <c r="AI12" s="179">
        <f t="shared" si="20"/>
        <v>0.28021156028707761</v>
      </c>
      <c r="AJ12" s="179">
        <f t="shared" si="21"/>
        <v>0.3</v>
      </c>
      <c r="AK12" s="179">
        <f t="shared" si="22"/>
        <v>1.1570370370370371</v>
      </c>
      <c r="AM12" s="563">
        <f t="shared" si="23"/>
        <v>70</v>
      </c>
      <c r="AN12" s="472">
        <f t="shared" si="24"/>
        <v>274.81481481481478</v>
      </c>
      <c r="AP12">
        <f t="shared" si="25"/>
        <v>70</v>
      </c>
      <c r="AQ12" s="472">
        <f t="shared" si="26"/>
        <v>274.81481481481478</v>
      </c>
      <c r="AR12" s="472"/>
      <c r="AS12" s="6">
        <f t="shared" si="51"/>
        <v>3.6388140161725073</v>
      </c>
      <c r="AT12" s="6">
        <f t="shared" si="27"/>
        <v>0.375</v>
      </c>
      <c r="AU12" s="6">
        <f t="shared" si="52"/>
        <v>3.2638140161725073</v>
      </c>
      <c r="AV12" s="6">
        <f t="shared" si="28"/>
        <v>0.5660377358490567</v>
      </c>
      <c r="AW12" s="179">
        <f t="shared" si="53"/>
        <v>0.10305555555555554</v>
      </c>
      <c r="AX12" s="179">
        <f t="shared" si="29"/>
        <v>0.37099999999999994</v>
      </c>
      <c r="AY12" s="179">
        <f t="shared" si="30"/>
        <v>0.40362499999999996</v>
      </c>
      <c r="AZ12" s="179">
        <f t="shared" si="54"/>
        <v>0.91917002167853823</v>
      </c>
      <c r="BA12" s="472">
        <f t="shared" si="31"/>
        <v>0.52500000000000002</v>
      </c>
      <c r="BB12" s="6">
        <f t="shared" si="32"/>
        <v>4.4071562718378754E-2</v>
      </c>
      <c r="BC12" s="6"/>
      <c r="BD12" s="179">
        <f t="shared" si="55"/>
        <v>5.5602757725374256E-2</v>
      </c>
      <c r="BE12" s="179">
        <f t="shared" si="33"/>
        <v>0.49211279194916269</v>
      </c>
      <c r="BF12" s="179"/>
      <c r="BG12" s="546">
        <f t="shared" si="34"/>
        <v>1.0820833333333333E-3</v>
      </c>
      <c r="BH12" s="546">
        <f t="shared" si="35"/>
        <v>2.4671499999999992E-2</v>
      </c>
      <c r="BI12" s="546">
        <f t="shared" si="36"/>
        <v>3.4351851851851848E-3</v>
      </c>
      <c r="BJ12" s="546">
        <f t="shared" si="37"/>
        <v>2.1875396666666661E-2</v>
      </c>
      <c r="BK12">
        <f t="shared" si="38"/>
        <v>6.96E-3</v>
      </c>
      <c r="BL12" s="546">
        <f t="shared" si="39"/>
        <v>5.819206507717533E-2</v>
      </c>
      <c r="BM12" s="472">
        <f t="shared" si="56"/>
        <v>58.192065077175329</v>
      </c>
      <c r="BN12" s="546">
        <f t="shared" si="40"/>
        <v>2.7160000000000004E-2</v>
      </c>
      <c r="BO12" s="546"/>
      <c r="BQ12" s="472">
        <f t="shared" si="57"/>
        <v>27.160000000000004</v>
      </c>
      <c r="BR12" s="546">
        <f t="shared" si="41"/>
        <v>6.1833333333333336E-4</v>
      </c>
      <c r="BS12" s="546">
        <f t="shared" si="42"/>
        <v>9.686999999999996E-3</v>
      </c>
      <c r="BT12" s="546">
        <f t="shared" si="43"/>
        <v>3.0858406372140197E-3</v>
      </c>
      <c r="BU12" s="546">
        <f t="shared" si="44"/>
        <v>1.4639883480885886E-2</v>
      </c>
      <c r="BV12" s="546">
        <f t="shared" si="45"/>
        <v>2.4733333333333335E-3</v>
      </c>
      <c r="BW12" s="472">
        <f t="shared" si="58"/>
        <v>17.113216814219221</v>
      </c>
      <c r="BX12" s="179">
        <f t="shared" si="59"/>
        <v>0.10246528189139453</v>
      </c>
      <c r="BY12" s="6">
        <f t="shared" si="60"/>
        <v>0.35000000000000003</v>
      </c>
      <c r="BZ12" s="179">
        <f t="shared" si="61"/>
        <v>0.77354001291973307</v>
      </c>
      <c r="CA12" s="6">
        <f t="shared" si="62"/>
        <v>77.354001291973304</v>
      </c>
      <c r="CD12" s="581">
        <f t="shared" si="46"/>
        <v>-50</v>
      </c>
      <c r="CE12">
        <f t="shared" si="47"/>
        <v>-50</v>
      </c>
    </row>
    <row r="13" spans="2:83" s="78" customFormat="1" x14ac:dyDescent="0.2">
      <c r="E13" s="195">
        <v>8</v>
      </c>
      <c r="F13" s="223">
        <f t="shared" si="48"/>
        <v>0.08</v>
      </c>
      <c r="G13" s="223"/>
      <c r="H13" s="223">
        <f t="shared" si="0"/>
        <v>0.4</v>
      </c>
      <c r="I13" s="559">
        <f t="shared" si="1"/>
        <v>24</v>
      </c>
      <c r="J13" s="178">
        <f t="shared" si="2"/>
        <v>15.899999999999999</v>
      </c>
      <c r="K13" s="553">
        <f t="shared" si="3"/>
        <v>39.9</v>
      </c>
      <c r="L13" s="553"/>
      <c r="M13" s="335">
        <f t="shared" si="4"/>
        <v>0.39849624060150374</v>
      </c>
      <c r="N13" s="178">
        <f t="shared" si="5"/>
        <v>6.4556390977443598</v>
      </c>
      <c r="O13" s="178">
        <f t="shared" si="49"/>
        <v>0.4</v>
      </c>
      <c r="P13" s="335">
        <f t="shared" si="6"/>
        <v>1.291127819548872</v>
      </c>
      <c r="Q13" s="223">
        <f t="shared" si="7"/>
        <v>5</v>
      </c>
      <c r="R13" s="223">
        <f t="shared" si="8"/>
        <v>1.4345864661654135</v>
      </c>
      <c r="S13" s="178">
        <f t="shared" si="9"/>
        <v>194.51231954942867</v>
      </c>
      <c r="T13" s="178">
        <f t="shared" si="10"/>
        <v>5</v>
      </c>
      <c r="U13" s="223">
        <f t="shared" si="11"/>
        <v>9.2941998602375966E-2</v>
      </c>
      <c r="V13" s="335">
        <f t="shared" si="12"/>
        <v>0.11617749825296995</v>
      </c>
      <c r="W13" s="223">
        <f t="shared" si="13"/>
        <v>0.17536226151391693</v>
      </c>
      <c r="X13" s="555">
        <f t="shared" si="14"/>
        <v>350</v>
      </c>
      <c r="Y13" s="553">
        <f t="shared" si="50"/>
        <v>350</v>
      </c>
      <c r="AA13" s="335">
        <f t="shared" si="15"/>
        <v>0.91084854994629427</v>
      </c>
      <c r="AB13" s="179">
        <f t="shared" si="16"/>
        <v>1.7185821697099894</v>
      </c>
      <c r="AC13" s="556">
        <f t="shared" si="17"/>
        <v>0.82181824055304764</v>
      </c>
      <c r="AD13" s="556"/>
      <c r="AE13" s="179">
        <f t="shared" si="18"/>
        <v>0.5660377358490567</v>
      </c>
      <c r="AF13" s="563">
        <f t="shared" si="63"/>
        <v>314.07407407407402</v>
      </c>
      <c r="AG13" s="546">
        <f t="shared" si="19"/>
        <v>8.9150943396226423E-2</v>
      </c>
      <c r="AH13"/>
      <c r="AI13" s="179">
        <f t="shared" si="20"/>
        <v>0.29955875840217011</v>
      </c>
      <c r="AJ13" s="179">
        <f t="shared" si="21"/>
        <v>0.3</v>
      </c>
      <c r="AK13" s="179">
        <f t="shared" si="22"/>
        <v>1.1794708994708993</v>
      </c>
      <c r="AM13" s="563">
        <f t="shared" si="23"/>
        <v>80</v>
      </c>
      <c r="AN13" s="472">
        <f t="shared" si="24"/>
        <v>314.07407407407402</v>
      </c>
      <c r="AP13">
        <f t="shared" si="25"/>
        <v>80</v>
      </c>
      <c r="AQ13" s="472">
        <f t="shared" si="26"/>
        <v>314.07407407407402</v>
      </c>
      <c r="AR13" s="472"/>
      <c r="AS13" s="6">
        <f t="shared" si="51"/>
        <v>3.183962264150944</v>
      </c>
      <c r="AT13" s="6">
        <f t="shared" si="27"/>
        <v>0.375</v>
      </c>
      <c r="AU13" s="6">
        <f t="shared" si="52"/>
        <v>2.808962264150944</v>
      </c>
      <c r="AV13" s="6">
        <f t="shared" si="28"/>
        <v>0.5660377358490567</v>
      </c>
      <c r="AW13" s="179">
        <f t="shared" si="53"/>
        <v>0.11777777777777776</v>
      </c>
      <c r="AX13" s="179">
        <f t="shared" si="29"/>
        <v>0.42399999999999988</v>
      </c>
      <c r="AY13" s="179">
        <f t="shared" si="30"/>
        <v>0.39699999999999996</v>
      </c>
      <c r="AZ13" s="179">
        <f t="shared" si="54"/>
        <v>1.0680100755667503</v>
      </c>
      <c r="BA13" s="472">
        <f t="shared" si="31"/>
        <v>0.6</v>
      </c>
      <c r="BB13" s="6">
        <f t="shared" si="32"/>
        <v>4.3348183088749138E-2</v>
      </c>
      <c r="BC13" s="6"/>
      <c r="BD13" s="179">
        <f t="shared" si="55"/>
        <v>5.9441848333756687E-2</v>
      </c>
      <c r="BE13" s="179">
        <f t="shared" si="33"/>
        <v>0.4880573736764971</v>
      </c>
      <c r="BF13" s="179"/>
      <c r="BG13" s="546">
        <f t="shared" si="34"/>
        <v>1.2366666666666663E-3</v>
      </c>
      <c r="BH13" s="546">
        <f t="shared" si="35"/>
        <v>2.8195999999999988E-2</v>
      </c>
      <c r="BI13" s="546">
        <f t="shared" si="36"/>
        <v>3.9259259259259256E-3</v>
      </c>
      <c r="BJ13" s="546">
        <f t="shared" si="37"/>
        <v>2.5000453333333329E-2</v>
      </c>
      <c r="BK13">
        <f t="shared" si="38"/>
        <v>6.96E-3</v>
      </c>
      <c r="BL13" s="546">
        <f t="shared" si="39"/>
        <v>6.5514069032076488E-2</v>
      </c>
      <c r="BM13" s="472">
        <f t="shared" si="56"/>
        <v>65.514069032076492</v>
      </c>
      <c r="BN13" s="546">
        <f t="shared" si="40"/>
        <v>3.1039999999999998E-2</v>
      </c>
      <c r="BO13" s="546"/>
      <c r="BQ13" s="472">
        <f t="shared" si="57"/>
        <v>31.04</v>
      </c>
      <c r="BR13" s="546">
        <f t="shared" si="41"/>
        <v>7.0666666666666664E-4</v>
      </c>
      <c r="BS13" s="546">
        <f t="shared" si="42"/>
        <v>9.5279999999999965E-3</v>
      </c>
      <c r="BT13" s="546">
        <f t="shared" si="43"/>
        <v>4.3087704870956207E-3</v>
      </c>
      <c r="BU13" s="546">
        <f t="shared" si="44"/>
        <v>1.5784521098717353E-2</v>
      </c>
      <c r="BV13" s="546">
        <f t="shared" si="45"/>
        <v>2.8266666666666666E-3</v>
      </c>
      <c r="BW13" s="472">
        <f t="shared" si="58"/>
        <v>18.61118776538402</v>
      </c>
      <c r="BX13" s="179">
        <f t="shared" si="59"/>
        <v>0.11516525679746051</v>
      </c>
      <c r="BY13" s="6">
        <f t="shared" si="60"/>
        <v>0.4</v>
      </c>
      <c r="BZ13" s="179">
        <f t="shared" si="61"/>
        <v>0.77644987646607111</v>
      </c>
      <c r="CA13" s="6">
        <f t="shared" si="62"/>
        <v>77.644987646607106</v>
      </c>
      <c r="CD13" s="581">
        <f t="shared" si="46"/>
        <v>-50</v>
      </c>
      <c r="CE13">
        <f t="shared" si="47"/>
        <v>-50</v>
      </c>
    </row>
    <row r="14" spans="2:83" x14ac:dyDescent="0.2">
      <c r="E14" s="176">
        <v>9</v>
      </c>
      <c r="F14" s="223">
        <f t="shared" si="48"/>
        <v>0.09</v>
      </c>
      <c r="G14" s="223"/>
      <c r="H14" s="223">
        <f t="shared" si="0"/>
        <v>0.44999999999999996</v>
      </c>
      <c r="I14" s="559">
        <f t="shared" si="1"/>
        <v>24</v>
      </c>
      <c r="J14" s="178">
        <f t="shared" si="2"/>
        <v>15.899999999999999</v>
      </c>
      <c r="K14" s="454">
        <f t="shared" si="3"/>
        <v>39.9</v>
      </c>
      <c r="L14" s="454"/>
      <c r="M14" s="223">
        <f t="shared" si="4"/>
        <v>0.39849624060150374</v>
      </c>
      <c r="N14" s="178">
        <f t="shared" si="5"/>
        <v>6.4556390977443598</v>
      </c>
      <c r="O14" s="178">
        <f t="shared" si="49"/>
        <v>0.44999999999999996</v>
      </c>
      <c r="P14" s="223">
        <f t="shared" si="6"/>
        <v>1.291127819548872</v>
      </c>
      <c r="Q14" s="223">
        <f t="shared" si="7"/>
        <v>5</v>
      </c>
      <c r="R14" s="223">
        <f t="shared" si="8"/>
        <v>1.4345864661654135</v>
      </c>
      <c r="S14" s="178">
        <f t="shared" si="9"/>
        <v>172.0139280673763</v>
      </c>
      <c r="T14" s="178">
        <f t="shared" si="10"/>
        <v>5</v>
      </c>
      <c r="U14" s="223">
        <f t="shared" si="11"/>
        <v>0.10455974842767295</v>
      </c>
      <c r="V14" s="223">
        <f t="shared" si="12"/>
        <v>0.13069968553459119</v>
      </c>
      <c r="W14" s="223">
        <f t="shared" si="13"/>
        <v>0.1972825442031565</v>
      </c>
      <c r="X14" s="203">
        <f t="shared" si="14"/>
        <v>350</v>
      </c>
      <c r="Y14" s="454">
        <f t="shared" si="50"/>
        <v>350</v>
      </c>
      <c r="AA14" s="223">
        <f t="shared" si="15"/>
        <v>0.91084854994629427</v>
      </c>
      <c r="AB14" s="179">
        <f t="shared" si="16"/>
        <v>1.7185821697099894</v>
      </c>
      <c r="AC14" s="179">
        <f t="shared" si="17"/>
        <v>0.82181824055304764</v>
      </c>
      <c r="AD14" s="179"/>
      <c r="AE14" s="179">
        <f t="shared" si="18"/>
        <v>0.5660377358490567</v>
      </c>
      <c r="AF14" s="563">
        <f t="shared" si="63"/>
        <v>353.33333333333326</v>
      </c>
      <c r="AG14" s="546">
        <f t="shared" si="19"/>
        <v>8.9150943396226423E-2</v>
      </c>
      <c r="AI14" s="179">
        <f t="shared" si="20"/>
        <v>0.31773004414499573</v>
      </c>
      <c r="AJ14" s="179">
        <f t="shared" si="21"/>
        <v>0.31773004414499573</v>
      </c>
      <c r="AK14" s="179">
        <f t="shared" si="22"/>
        <v>1.2131333660333301</v>
      </c>
      <c r="AM14" s="563">
        <f t="shared" si="23"/>
        <v>90</v>
      </c>
      <c r="AN14" s="472">
        <f t="shared" si="24"/>
        <v>350</v>
      </c>
      <c r="AP14">
        <f t="shared" si="25"/>
        <v>90</v>
      </c>
      <c r="AQ14" s="472">
        <f t="shared" si="26"/>
        <v>350</v>
      </c>
      <c r="AR14" s="472"/>
      <c r="AS14" s="6">
        <f t="shared" si="51"/>
        <v>2.8571428571428572</v>
      </c>
      <c r="AT14" s="6">
        <f t="shared" si="27"/>
        <v>0.39716255518124466</v>
      </c>
      <c r="AU14" s="6">
        <f t="shared" si="52"/>
        <v>2.4599803019616124</v>
      </c>
      <c r="AV14" s="6">
        <f t="shared" si="28"/>
        <v>0.59949064933018059</v>
      </c>
      <c r="AW14" s="179">
        <f t="shared" si="53"/>
        <v>0.13900689431343563</v>
      </c>
      <c r="AX14" s="179">
        <f t="shared" si="29"/>
        <v>0.52999999999999992</v>
      </c>
      <c r="AY14" s="179">
        <f t="shared" si="30"/>
        <v>0.41034506621749361</v>
      </c>
      <c r="AZ14" s="179">
        <f t="shared" si="54"/>
        <v>1.2915958875428175</v>
      </c>
      <c r="BA14" s="472">
        <f t="shared" si="31"/>
        <v>0.71489259932624027</v>
      </c>
      <c r="BB14" s="6">
        <f t="shared" si="32"/>
        <v>4.2707991353500209E-2</v>
      </c>
      <c r="BC14" s="6"/>
      <c r="BD14" s="179">
        <f t="shared" si="55"/>
        <v>6.8393656990828486E-2</v>
      </c>
      <c r="BE14" s="179">
        <f t="shared" si="33"/>
        <v>0.51064460440499215</v>
      </c>
      <c r="BF14" s="179"/>
      <c r="BG14" s="546">
        <f t="shared" si="34"/>
        <v>1.6371923108026857E-3</v>
      </c>
      <c r="BH14" s="546">
        <f t="shared" si="35"/>
        <v>3.3278250498636482E-2</v>
      </c>
      <c r="BI14" s="546">
        <f t="shared" si="36"/>
        <v>4.3749999999999995E-3</v>
      </c>
      <c r="BJ14" s="546">
        <f t="shared" si="37"/>
        <v>2.7860175000000001E-2</v>
      </c>
      <c r="BK14">
        <f t="shared" si="38"/>
        <v>6.96E-3</v>
      </c>
      <c r="BL14" s="546">
        <f t="shared" si="39"/>
        <v>7.4373830088438911E-2</v>
      </c>
      <c r="BM14" s="472">
        <f t="shared" si="56"/>
        <v>74.373830088438908</v>
      </c>
      <c r="BN14" s="546">
        <f t="shared" si="40"/>
        <v>3.492E-2</v>
      </c>
      <c r="BO14" s="546"/>
      <c r="BQ14" s="472">
        <f t="shared" si="57"/>
        <v>34.92</v>
      </c>
      <c r="BR14" s="546">
        <f t="shared" si="41"/>
        <v>9.3553846331582047E-4</v>
      </c>
      <c r="BS14" s="546">
        <f t="shared" si="42"/>
        <v>1.0430316480317238E-2</v>
      </c>
      <c r="BT14" s="546">
        <f t="shared" si="43"/>
        <v>6.520573925011942E-3</v>
      </c>
      <c r="BU14" s="546">
        <f t="shared" si="44"/>
        <v>1.9267851109944258E-2</v>
      </c>
      <c r="BV14" s="546">
        <f t="shared" si="45"/>
        <v>3.5333333333333328E-3</v>
      </c>
      <c r="BW14" s="472">
        <f t="shared" si="58"/>
        <v>22.801184443277592</v>
      </c>
      <c r="BX14" s="179">
        <f t="shared" si="59"/>
        <v>0.13209501453171649</v>
      </c>
      <c r="BY14" s="6">
        <f t="shared" si="60"/>
        <v>0.44999999999999996</v>
      </c>
      <c r="BZ14" s="179">
        <f t="shared" si="61"/>
        <v>0.77306966863823046</v>
      </c>
      <c r="CA14" s="6">
        <f t="shared" si="62"/>
        <v>77.30696686382305</v>
      </c>
      <c r="CD14" s="581">
        <f t="shared" si="46"/>
        <v>-50</v>
      </c>
      <c r="CE14">
        <f t="shared" si="47"/>
        <v>-50</v>
      </c>
    </row>
    <row r="15" spans="2:83" x14ac:dyDescent="0.2">
      <c r="E15" s="176">
        <v>10</v>
      </c>
      <c r="F15" s="223">
        <f t="shared" si="48"/>
        <v>0.1</v>
      </c>
      <c r="G15" s="223"/>
      <c r="H15" s="223">
        <f t="shared" si="0"/>
        <v>0.5</v>
      </c>
      <c r="I15" s="559">
        <f t="shared" si="1"/>
        <v>24</v>
      </c>
      <c r="J15" s="178">
        <f t="shared" si="2"/>
        <v>15.899999999999999</v>
      </c>
      <c r="K15" s="454">
        <f t="shared" si="3"/>
        <v>39.9</v>
      </c>
      <c r="L15" s="454"/>
      <c r="M15" s="223">
        <f t="shared" si="4"/>
        <v>0.39849624060150374</v>
      </c>
      <c r="N15" s="178">
        <f t="shared" si="5"/>
        <v>6.4556390977443598</v>
      </c>
      <c r="O15" s="178">
        <f t="shared" si="49"/>
        <v>0.5</v>
      </c>
      <c r="P15" s="223">
        <f t="shared" si="6"/>
        <v>1.291127819548872</v>
      </c>
      <c r="Q15" s="223">
        <f t="shared" si="7"/>
        <v>5</v>
      </c>
      <c r="R15" s="223">
        <f t="shared" si="8"/>
        <v>1.4345864661654135</v>
      </c>
      <c r="S15" s="178">
        <f t="shared" si="9"/>
        <v>154.01555254775278</v>
      </c>
      <c r="T15" s="178">
        <f t="shared" si="10"/>
        <v>5</v>
      </c>
      <c r="U15" s="223">
        <f t="shared" si="11"/>
        <v>0.11617749825296994</v>
      </c>
      <c r="V15" s="223">
        <f t="shared" si="12"/>
        <v>0.14522187281621243</v>
      </c>
      <c r="W15" s="223">
        <f t="shared" si="13"/>
        <v>0.21920282689239612</v>
      </c>
      <c r="X15" s="203">
        <f t="shared" si="14"/>
        <v>350</v>
      </c>
      <c r="Y15" s="454">
        <f t="shared" si="50"/>
        <v>350</v>
      </c>
      <c r="AA15" s="223">
        <f t="shared" si="15"/>
        <v>0.91084854994629427</v>
      </c>
      <c r="AB15" s="179">
        <f t="shared" si="16"/>
        <v>1.7185821697099894</v>
      </c>
      <c r="AC15" s="179">
        <f t="shared" si="17"/>
        <v>0.82181824055304764</v>
      </c>
      <c r="AD15" s="179"/>
      <c r="AE15" s="179">
        <f t="shared" si="18"/>
        <v>0.5660377358490567</v>
      </c>
      <c r="AF15" s="563">
        <f t="shared" si="63"/>
        <v>392.59259259259255</v>
      </c>
      <c r="AG15" s="546">
        <f t="shared" si="19"/>
        <v>8.9150943396226423E-2</v>
      </c>
      <c r="AI15" s="179">
        <f t="shared" si="20"/>
        <v>0.33491687352134436</v>
      </c>
      <c r="AJ15" s="179">
        <f t="shared" si="21"/>
        <v>0.33491687352134436</v>
      </c>
      <c r="AK15" s="179">
        <f t="shared" si="22"/>
        <v>1.2258643507565514</v>
      </c>
      <c r="AM15" s="563">
        <f t="shared" si="23"/>
        <v>100</v>
      </c>
      <c r="AN15" s="472">
        <f t="shared" si="24"/>
        <v>350</v>
      </c>
      <c r="AP15">
        <f t="shared" si="25"/>
        <v>100</v>
      </c>
      <c r="AQ15" s="472">
        <f t="shared" si="26"/>
        <v>350</v>
      </c>
      <c r="AR15" s="472"/>
      <c r="AS15" s="6">
        <f t="shared" si="51"/>
        <v>2.8571428571428572</v>
      </c>
      <c r="AT15" s="6">
        <f t="shared" si="27"/>
        <v>0.41864609190168045</v>
      </c>
      <c r="AU15" s="6">
        <f t="shared" si="52"/>
        <v>2.4384967652411769</v>
      </c>
      <c r="AV15" s="6">
        <f t="shared" si="28"/>
        <v>0.63191862928555542</v>
      </c>
      <c r="AW15" s="179">
        <f t="shared" si="53"/>
        <v>0.14652613216558816</v>
      </c>
      <c r="AX15" s="179">
        <f t="shared" si="29"/>
        <v>0.58888888888888891</v>
      </c>
      <c r="AY15" s="179">
        <f t="shared" si="30"/>
        <v>0.42876419917090541</v>
      </c>
      <c r="AZ15" s="179">
        <f t="shared" si="54"/>
        <v>1.3734562960891186</v>
      </c>
      <c r="BA15" s="472">
        <f t="shared" si="31"/>
        <v>0.8372921838033609</v>
      </c>
      <c r="BB15" s="6">
        <f t="shared" si="32"/>
        <v>4.7038903650485665E-2</v>
      </c>
      <c r="BC15" s="6"/>
      <c r="BD15" s="179">
        <f t="shared" si="55"/>
        <v>7.4017420156437391E-2</v>
      </c>
      <c r="BE15" s="179">
        <f t="shared" si="33"/>
        <v>0.53591112148228959</v>
      </c>
      <c r="BF15" s="179"/>
      <c r="BG15" s="546">
        <f t="shared" si="34"/>
        <v>1.9175024703151043E-3</v>
      </c>
      <c r="BH15" s="546">
        <f t="shared" si="35"/>
        <v>3.5078356040441801E-2</v>
      </c>
      <c r="BI15" s="546">
        <f t="shared" si="36"/>
        <v>4.3749999999999995E-3</v>
      </c>
      <c r="BJ15" s="546">
        <f t="shared" si="37"/>
        <v>2.7860175000000001E-2</v>
      </c>
      <c r="BK15">
        <f t="shared" si="38"/>
        <v>6.96E-3</v>
      </c>
      <c r="BL15" s="546">
        <f t="shared" si="39"/>
        <v>7.6500724543002649E-2</v>
      </c>
      <c r="BM15" s="472">
        <f t="shared" si="56"/>
        <v>76.500724543002647</v>
      </c>
      <c r="BN15" s="546">
        <f t="shared" si="40"/>
        <v>3.8800000000000008E-2</v>
      </c>
      <c r="BO15" s="546"/>
      <c r="BQ15" s="472">
        <f t="shared" si="57"/>
        <v>38.800000000000011</v>
      </c>
      <c r="BR15" s="546">
        <f t="shared" si="41"/>
        <v>1.0957156973229168E-3</v>
      </c>
      <c r="BS15" s="546">
        <f t="shared" si="42"/>
        <v>1.1488029205136214E-2</v>
      </c>
      <c r="BT15" s="546">
        <f t="shared" si="43"/>
        <v>7.4384540772994166E-3</v>
      </c>
      <c r="BU15" s="546">
        <f t="shared" si="44"/>
        <v>2.1553946717424305E-2</v>
      </c>
      <c r="BV15" s="546">
        <f t="shared" si="45"/>
        <v>3.9259259259259265E-3</v>
      </c>
      <c r="BW15" s="472">
        <f t="shared" si="58"/>
        <v>25.47987264335023</v>
      </c>
      <c r="BX15" s="179">
        <f t="shared" si="59"/>
        <v>0.14078059718635288</v>
      </c>
      <c r="BY15" s="6">
        <f t="shared" si="60"/>
        <v>0.5</v>
      </c>
      <c r="BZ15" s="179">
        <f t="shared" si="61"/>
        <v>0.78029828336794838</v>
      </c>
      <c r="CA15" s="6">
        <f t="shared" si="62"/>
        <v>78.029828336794836</v>
      </c>
      <c r="CD15" s="581">
        <f t="shared" si="46"/>
        <v>-50</v>
      </c>
      <c r="CE15">
        <f t="shared" si="47"/>
        <v>-50</v>
      </c>
    </row>
    <row r="16" spans="2:83" x14ac:dyDescent="0.2">
      <c r="E16" s="176">
        <v>11</v>
      </c>
      <c r="F16" s="223">
        <f t="shared" si="48"/>
        <v>0.11</v>
      </c>
      <c r="G16" s="223"/>
      <c r="H16" s="223">
        <f t="shared" si="0"/>
        <v>0.55000000000000004</v>
      </c>
      <c r="I16" s="559">
        <f t="shared" si="1"/>
        <v>24</v>
      </c>
      <c r="J16" s="178">
        <f t="shared" si="2"/>
        <v>15.899999999999999</v>
      </c>
      <c r="K16" s="454">
        <f t="shared" si="3"/>
        <v>39.9</v>
      </c>
      <c r="L16" s="454"/>
      <c r="M16" s="223">
        <f t="shared" si="4"/>
        <v>0.39849624060150374</v>
      </c>
      <c r="N16" s="178">
        <f t="shared" si="5"/>
        <v>6.4556390977443598</v>
      </c>
      <c r="O16" s="178">
        <f t="shared" si="49"/>
        <v>0.55000000000000004</v>
      </c>
      <c r="P16" s="223">
        <f t="shared" si="6"/>
        <v>1.291127819548872</v>
      </c>
      <c r="Q16" s="223">
        <f t="shared" si="7"/>
        <v>5</v>
      </c>
      <c r="R16" s="223">
        <f t="shared" si="8"/>
        <v>1.4345864661654135</v>
      </c>
      <c r="S16" s="178">
        <f t="shared" si="9"/>
        <v>139.28992049120291</v>
      </c>
      <c r="T16" s="178">
        <f t="shared" si="10"/>
        <v>5</v>
      </c>
      <c r="U16" s="223">
        <f t="shared" si="11"/>
        <v>0.12779524807826695</v>
      </c>
      <c r="V16" s="223">
        <f t="shared" si="12"/>
        <v>0.15974406009783368</v>
      </c>
      <c r="W16" s="223">
        <f t="shared" si="13"/>
        <v>0.2411231095816358</v>
      </c>
      <c r="X16" s="203">
        <f t="shared" si="14"/>
        <v>350</v>
      </c>
      <c r="Y16" s="454">
        <f t="shared" si="50"/>
        <v>350</v>
      </c>
      <c r="AA16" s="223">
        <f t="shared" si="15"/>
        <v>0.91084854994629427</v>
      </c>
      <c r="AB16" s="179">
        <f t="shared" si="16"/>
        <v>1.7185821697099894</v>
      </c>
      <c r="AC16" s="179">
        <f t="shared" si="17"/>
        <v>0.82181824055304764</v>
      </c>
      <c r="AD16" s="179"/>
      <c r="AE16" s="179">
        <f t="shared" si="18"/>
        <v>0.5660377358490567</v>
      </c>
      <c r="AF16" s="563">
        <f t="shared" si="63"/>
        <v>431.85185185185179</v>
      </c>
      <c r="AG16" s="546">
        <f t="shared" si="19"/>
        <v>8.9150943396226423E-2</v>
      </c>
      <c r="AI16" s="179">
        <f t="shared" si="20"/>
        <v>0.35126378035066946</v>
      </c>
      <c r="AJ16" s="179">
        <f t="shared" si="21"/>
        <v>0.35126378035066946</v>
      </c>
      <c r="AK16" s="179">
        <f t="shared" si="22"/>
        <v>1.2379731706301256</v>
      </c>
      <c r="AM16" s="563">
        <f t="shared" si="23"/>
        <v>110</v>
      </c>
      <c r="AN16" s="472">
        <f t="shared" si="24"/>
        <v>350</v>
      </c>
      <c r="AP16">
        <f t="shared" si="25"/>
        <v>110</v>
      </c>
      <c r="AQ16" s="472">
        <f t="shared" si="26"/>
        <v>350</v>
      </c>
      <c r="AR16" s="472"/>
      <c r="AS16" s="6">
        <f t="shared" si="51"/>
        <v>2.8571428571428572</v>
      </c>
      <c r="AT16" s="6">
        <f t="shared" si="27"/>
        <v>0.43907972543833684</v>
      </c>
      <c r="AU16" s="6">
        <f t="shared" si="52"/>
        <v>2.4180631317045203</v>
      </c>
      <c r="AV16" s="6">
        <f t="shared" si="28"/>
        <v>0.66276184971824437</v>
      </c>
      <c r="AW16" s="179">
        <f t="shared" si="53"/>
        <v>0.1536779039034179</v>
      </c>
      <c r="AX16" s="179">
        <f t="shared" si="29"/>
        <v>0.64777777777777767</v>
      </c>
      <c r="AY16" s="179">
        <f t="shared" si="30"/>
        <v>0.44592344830378194</v>
      </c>
      <c r="AZ16" s="179">
        <f t="shared" si="54"/>
        <v>1.4526658785085551</v>
      </c>
      <c r="BA16" s="472">
        <f t="shared" si="31"/>
        <v>0.96597539596434101</v>
      </c>
      <c r="BB16" s="6">
        <f t="shared" si="32"/>
        <v>5.1309209970582019E-2</v>
      </c>
      <c r="BC16" s="6"/>
      <c r="BD16" s="179">
        <f t="shared" si="55"/>
        <v>7.9502073880947363E-2</v>
      </c>
      <c r="BE16" s="179">
        <f t="shared" si="33"/>
        <v>0.55970841729992371</v>
      </c>
      <c r="BF16" s="179"/>
      <c r="BG16" s="546">
        <f t="shared" si="34"/>
        <v>2.2122029129800643E-3</v>
      </c>
      <c r="BH16" s="546">
        <f t="shared" si="35"/>
        <v>3.6790490194478234E-2</v>
      </c>
      <c r="BI16" s="546">
        <f t="shared" si="36"/>
        <v>4.3749999999999995E-3</v>
      </c>
      <c r="BJ16" s="546">
        <f t="shared" si="37"/>
        <v>2.7860175000000001E-2</v>
      </c>
      <c r="BK16">
        <f t="shared" si="38"/>
        <v>6.96E-3</v>
      </c>
      <c r="BL16" s="546">
        <f t="shared" si="39"/>
        <v>7.8556731459263937E-2</v>
      </c>
      <c r="BM16" s="472">
        <f t="shared" si="56"/>
        <v>78.556731459263943</v>
      </c>
      <c r="BN16" s="546">
        <f t="shared" si="40"/>
        <v>4.2680000000000003E-2</v>
      </c>
      <c r="BO16" s="546"/>
      <c r="BQ16" s="472">
        <f t="shared" si="57"/>
        <v>42.68</v>
      </c>
      <c r="BR16" s="546">
        <f t="shared" si="41"/>
        <v>1.2641159502743227E-3</v>
      </c>
      <c r="BS16" s="546">
        <f t="shared" si="42"/>
        <v>1.2530940495855424E-2</v>
      </c>
      <c r="BT16" s="546">
        <f t="shared" si="43"/>
        <v>8.3796049108071716E-3</v>
      </c>
      <c r="BU16" s="546">
        <f t="shared" si="44"/>
        <v>2.3856396156999454E-2</v>
      </c>
      <c r="BV16" s="546">
        <f t="shared" si="45"/>
        <v>4.3185185185185175E-3</v>
      </c>
      <c r="BW16" s="472">
        <f t="shared" si="58"/>
        <v>28.174914675517972</v>
      </c>
      <c r="BX16" s="179">
        <f t="shared" si="59"/>
        <v>0.14941164613478192</v>
      </c>
      <c r="BY16" s="6">
        <f t="shared" si="60"/>
        <v>0.55000000000000004</v>
      </c>
      <c r="BZ16" s="179">
        <f t="shared" si="61"/>
        <v>0.78637523844435797</v>
      </c>
      <c r="CA16" s="6">
        <f t="shared" si="62"/>
        <v>78.63752384443579</v>
      </c>
      <c r="CD16" s="581">
        <f t="shared" si="46"/>
        <v>-50</v>
      </c>
      <c r="CE16">
        <f t="shared" si="47"/>
        <v>-50</v>
      </c>
    </row>
    <row r="17" spans="5:83" x14ac:dyDescent="0.2">
      <c r="E17" s="176">
        <v>12</v>
      </c>
      <c r="F17" s="223">
        <f t="shared" si="48"/>
        <v>0.12</v>
      </c>
      <c r="G17" s="223"/>
      <c r="H17" s="223">
        <f t="shared" si="0"/>
        <v>0.6</v>
      </c>
      <c r="I17" s="559">
        <f t="shared" si="1"/>
        <v>24</v>
      </c>
      <c r="J17" s="178">
        <f t="shared" si="2"/>
        <v>15.899999999999999</v>
      </c>
      <c r="K17" s="454">
        <f t="shared" si="3"/>
        <v>39.9</v>
      </c>
      <c r="L17" s="454"/>
      <c r="M17" s="223">
        <f t="shared" si="4"/>
        <v>0.39849624060150374</v>
      </c>
      <c r="N17" s="178">
        <f t="shared" si="5"/>
        <v>6.4556390977443598</v>
      </c>
      <c r="O17" s="178">
        <f t="shared" si="49"/>
        <v>0.6</v>
      </c>
      <c r="P17" s="223">
        <f t="shared" si="6"/>
        <v>1.291127819548872</v>
      </c>
      <c r="Q17" s="223">
        <f t="shared" si="7"/>
        <v>5</v>
      </c>
      <c r="R17" s="223">
        <f t="shared" si="8"/>
        <v>1.4345864661654135</v>
      </c>
      <c r="S17" s="178">
        <f t="shared" si="9"/>
        <v>127.01885031159271</v>
      </c>
      <c r="T17" s="178">
        <f t="shared" si="10"/>
        <v>5</v>
      </c>
      <c r="U17" s="223">
        <f t="shared" si="11"/>
        <v>0.13941299790356393</v>
      </c>
      <c r="V17" s="223">
        <f t="shared" si="12"/>
        <v>0.1742662473794549</v>
      </c>
      <c r="W17" s="223">
        <f t="shared" si="13"/>
        <v>0.26304339227087536</v>
      </c>
      <c r="X17" s="203">
        <f t="shared" si="14"/>
        <v>350</v>
      </c>
      <c r="Y17" s="454">
        <f t="shared" si="50"/>
        <v>350</v>
      </c>
      <c r="AA17" s="223">
        <f t="shared" si="15"/>
        <v>0.91084854994629427</v>
      </c>
      <c r="AB17" s="179">
        <f t="shared" si="16"/>
        <v>1.7185821697099894</v>
      </c>
      <c r="AC17" s="179">
        <f t="shared" si="17"/>
        <v>0.82181824055304764</v>
      </c>
      <c r="AD17" s="179"/>
      <c r="AE17" s="179">
        <f t="shared" si="18"/>
        <v>0.5660377358490567</v>
      </c>
      <c r="AF17" s="564">
        <f t="shared" si="63"/>
        <v>471.11111111111103</v>
      </c>
      <c r="AG17" s="546">
        <f t="shared" si="19"/>
        <v>8.9150943396226423E-2</v>
      </c>
      <c r="AI17" s="179">
        <f t="shared" si="20"/>
        <v>0.36688305303348995</v>
      </c>
      <c r="AJ17" s="179">
        <f t="shared" si="21"/>
        <v>0.36688305303348995</v>
      </c>
      <c r="AK17" s="179">
        <f t="shared" si="22"/>
        <v>1.2495430022470295</v>
      </c>
      <c r="AM17" s="563">
        <f t="shared" si="23"/>
        <v>120</v>
      </c>
      <c r="AN17" s="472">
        <f t="shared" si="24"/>
        <v>350</v>
      </c>
      <c r="AP17">
        <f t="shared" si="25"/>
        <v>120</v>
      </c>
      <c r="AQ17" s="472">
        <f t="shared" si="26"/>
        <v>350</v>
      </c>
      <c r="AR17" s="472"/>
      <c r="AS17" s="6">
        <f t="shared" si="51"/>
        <v>2.8571428571428572</v>
      </c>
      <c r="AT17" s="6">
        <f t="shared" si="27"/>
        <v>0.45860381629186242</v>
      </c>
      <c r="AU17" s="6">
        <f t="shared" si="52"/>
        <v>2.398539040850995</v>
      </c>
      <c r="AV17" s="6">
        <f t="shared" si="28"/>
        <v>0.6922321755348867</v>
      </c>
      <c r="AW17" s="179">
        <f t="shared" si="53"/>
        <v>0.16051133570215184</v>
      </c>
      <c r="AX17" s="179">
        <f t="shared" si="29"/>
        <v>0.70666666666666667</v>
      </c>
      <c r="AY17" s="179">
        <f t="shared" si="30"/>
        <v>0.46199124621690163</v>
      </c>
      <c r="AZ17" s="179">
        <f t="shared" si="54"/>
        <v>1.5296105120028436</v>
      </c>
      <c r="BA17" s="472">
        <f t="shared" si="31"/>
        <v>1.1006491591004697</v>
      </c>
      <c r="BB17" s="6">
        <f t="shared" si="32"/>
        <v>5.5521737056735979E-2</v>
      </c>
      <c r="BC17" s="6"/>
      <c r="BD17" s="179">
        <f t="shared" si="55"/>
        <v>8.4863292703236379E-2</v>
      </c>
      <c r="BE17" s="179">
        <f t="shared" si="33"/>
        <v>0.58223149843821342</v>
      </c>
      <c r="BF17" s="179"/>
      <c r="BG17" s="546">
        <f t="shared" si="34"/>
        <v>2.5206224569523103E-3</v>
      </c>
      <c r="BH17" s="546">
        <f t="shared" si="35"/>
        <v>3.8426413767095151E-2</v>
      </c>
      <c r="BI17" s="546">
        <f t="shared" si="36"/>
        <v>4.3749999999999995E-3</v>
      </c>
      <c r="BJ17" s="546">
        <f t="shared" si="37"/>
        <v>2.7860175000000001E-2</v>
      </c>
      <c r="BK17">
        <f t="shared" si="38"/>
        <v>6.96E-3</v>
      </c>
      <c r="BL17" s="546">
        <f t="shared" si="39"/>
        <v>8.0552849766841517E-2</v>
      </c>
      <c r="BM17" s="472">
        <f t="shared" si="56"/>
        <v>80.552849766841518</v>
      </c>
      <c r="BN17" s="546">
        <f t="shared" si="40"/>
        <v>4.6559999999999997E-2</v>
      </c>
      <c r="BO17" s="546"/>
      <c r="BQ17" s="472">
        <f t="shared" si="57"/>
        <v>46.559999999999995</v>
      </c>
      <c r="BR17" s="546">
        <f t="shared" si="41"/>
        <v>1.4403556896870346E-3</v>
      </c>
      <c r="BS17" s="546">
        <f t="shared" si="42"/>
        <v>1.3559740710944292E-2</v>
      </c>
      <c r="BT17" s="546">
        <f t="shared" si="43"/>
        <v>9.342416904067263E-3</v>
      </c>
      <c r="BU17" s="546">
        <f t="shared" si="44"/>
        <v>2.6173933795183273E-2</v>
      </c>
      <c r="BV17" s="546">
        <f t="shared" si="45"/>
        <v>4.7111111111111112E-3</v>
      </c>
      <c r="BW17" s="472">
        <f t="shared" si="58"/>
        <v>30.885044906294382</v>
      </c>
      <c r="BX17" s="179">
        <f t="shared" si="59"/>
        <v>0.15799789467313588</v>
      </c>
      <c r="BY17" s="6">
        <f t="shared" si="60"/>
        <v>0.6</v>
      </c>
      <c r="BZ17" s="179">
        <f t="shared" si="61"/>
        <v>0.7915589267681703</v>
      </c>
      <c r="CA17" s="6">
        <f t="shared" si="62"/>
        <v>79.155892676817032</v>
      </c>
      <c r="CD17" s="581">
        <f t="shared" si="46"/>
        <v>-50</v>
      </c>
      <c r="CE17">
        <f t="shared" si="47"/>
        <v>-50</v>
      </c>
    </row>
    <row r="18" spans="5:83" x14ac:dyDescent="0.2">
      <c r="E18" s="176">
        <v>13</v>
      </c>
      <c r="F18" s="223">
        <f t="shared" si="48"/>
        <v>0.13</v>
      </c>
      <c r="G18" s="223"/>
      <c r="H18" s="223">
        <f t="shared" si="0"/>
        <v>0.65</v>
      </c>
      <c r="I18" s="559">
        <f t="shared" si="1"/>
        <v>24</v>
      </c>
      <c r="J18" s="178">
        <f t="shared" si="2"/>
        <v>15.899999999999999</v>
      </c>
      <c r="K18" s="454">
        <f t="shared" si="3"/>
        <v>39.9</v>
      </c>
      <c r="L18" s="454"/>
      <c r="M18" s="223">
        <f t="shared" si="4"/>
        <v>0.39849624060150374</v>
      </c>
      <c r="N18" s="178">
        <f t="shared" si="5"/>
        <v>6.4556390977443598</v>
      </c>
      <c r="O18" s="178">
        <f t="shared" si="49"/>
        <v>0.65</v>
      </c>
      <c r="P18" s="223">
        <f t="shared" si="6"/>
        <v>1.291127819548872</v>
      </c>
      <c r="Q18" s="223">
        <f t="shared" si="7"/>
        <v>5</v>
      </c>
      <c r="R18" s="223">
        <f t="shared" si="8"/>
        <v>1.4345864661654135</v>
      </c>
      <c r="S18" s="178">
        <f t="shared" si="9"/>
        <v>116.63590867875502</v>
      </c>
      <c r="T18" s="178">
        <f t="shared" si="10"/>
        <v>5</v>
      </c>
      <c r="U18" s="223">
        <f t="shared" si="11"/>
        <v>0.15103074772886094</v>
      </c>
      <c r="V18" s="223">
        <f t="shared" si="12"/>
        <v>0.18878843466107617</v>
      </c>
      <c r="W18" s="223">
        <f t="shared" si="13"/>
        <v>0.28496367496011504</v>
      </c>
      <c r="X18" s="203">
        <f t="shared" si="14"/>
        <v>350</v>
      </c>
      <c r="Y18" s="454">
        <f t="shared" si="50"/>
        <v>350</v>
      </c>
      <c r="AA18" s="223">
        <f t="shared" si="15"/>
        <v>0.91084854994629427</v>
      </c>
      <c r="AB18" s="179">
        <f t="shared" si="16"/>
        <v>1.7185821697099894</v>
      </c>
      <c r="AC18" s="179">
        <f t="shared" si="17"/>
        <v>0.82181824055304764</v>
      </c>
      <c r="AD18" s="179"/>
      <c r="AE18" s="179">
        <f t="shared" si="18"/>
        <v>0.5660377358490567</v>
      </c>
      <c r="AF18" s="563">
        <f t="shared" si="63"/>
        <v>510.37037037037027</v>
      </c>
      <c r="AG18" s="546">
        <f t="shared" si="19"/>
        <v>8.9150943396226423E-2</v>
      </c>
      <c r="AI18" s="179">
        <f t="shared" si="20"/>
        <v>0.38186398864007304</v>
      </c>
      <c r="AJ18" s="179">
        <f t="shared" si="21"/>
        <v>0.38186398864007304</v>
      </c>
      <c r="AK18" s="179">
        <f t="shared" si="22"/>
        <v>1.2606399915852393</v>
      </c>
      <c r="AM18" s="563">
        <f t="shared" si="23"/>
        <v>130</v>
      </c>
      <c r="AN18" s="472">
        <f t="shared" si="24"/>
        <v>350</v>
      </c>
      <c r="AP18">
        <f t="shared" si="25"/>
        <v>130</v>
      </c>
      <c r="AQ18" s="472">
        <f t="shared" si="26"/>
        <v>350</v>
      </c>
      <c r="AR18" s="472"/>
      <c r="AS18" s="6">
        <f t="shared" si="51"/>
        <v>2.8571428571428572</v>
      </c>
      <c r="AT18" s="6">
        <f t="shared" si="27"/>
        <v>0.47732998580009134</v>
      </c>
      <c r="AU18" s="6">
        <f t="shared" si="52"/>
        <v>2.3798128713427658</v>
      </c>
      <c r="AV18" s="6">
        <f t="shared" si="28"/>
        <v>0.72049809177372282</v>
      </c>
      <c r="AW18" s="179">
        <f t="shared" si="53"/>
        <v>0.16706549503003196</v>
      </c>
      <c r="AX18" s="179">
        <f t="shared" si="29"/>
        <v>0.76555555555555566</v>
      </c>
      <c r="AY18" s="179">
        <f t="shared" si="30"/>
        <v>0.47710153851566511</v>
      </c>
      <c r="AZ18" s="179">
        <f t="shared" si="54"/>
        <v>1.6045967027004662</v>
      </c>
      <c r="BA18" s="472">
        <f t="shared" si="31"/>
        <v>1.2410579630802376</v>
      </c>
      <c r="BB18" s="6">
        <f t="shared" si="32"/>
        <v>5.9678949319938168E-2</v>
      </c>
      <c r="BC18" s="6"/>
      <c r="BD18" s="179">
        <f t="shared" si="55"/>
        <v>9.0113832020335308E-2</v>
      </c>
      <c r="BE18" s="179">
        <f t="shared" si="33"/>
        <v>0.60363548020955038</v>
      </c>
      <c r="BF18" s="179"/>
      <c r="BG18" s="546">
        <f t="shared" si="34"/>
        <v>2.8421759524862229E-3</v>
      </c>
      <c r="BH18" s="546">
        <f t="shared" si="35"/>
        <v>3.9995479510189641E-2</v>
      </c>
      <c r="BI18" s="546">
        <f t="shared" si="36"/>
        <v>4.3749999999999995E-3</v>
      </c>
      <c r="BJ18" s="546">
        <f t="shared" si="37"/>
        <v>2.7860175000000001E-2</v>
      </c>
      <c r="BK18">
        <f t="shared" si="38"/>
        <v>6.96E-3</v>
      </c>
      <c r="BL18" s="546">
        <f t="shared" si="39"/>
        <v>8.2497769171632318E-2</v>
      </c>
      <c r="BM18" s="472">
        <f t="shared" si="56"/>
        <v>82.497769171632314</v>
      </c>
      <c r="BN18" s="546">
        <f t="shared" si="40"/>
        <v>5.0440000000000006E-2</v>
      </c>
      <c r="BO18" s="546"/>
      <c r="BQ18" s="472">
        <f t="shared" si="57"/>
        <v>50.440000000000005</v>
      </c>
      <c r="BR18" s="546">
        <f t="shared" si="41"/>
        <v>1.6241005442778418E-3</v>
      </c>
      <c r="BS18" s="546">
        <f t="shared" si="42"/>
        <v>1.4575031718712579E-2</v>
      </c>
      <c r="BT18" s="546">
        <f t="shared" si="43"/>
        <v>1.0325518675801179E-2</v>
      </c>
      <c r="BU18" s="546">
        <f t="shared" si="44"/>
        <v>2.8505487943904409E-2</v>
      </c>
      <c r="BV18" s="546">
        <f t="shared" si="45"/>
        <v>5.103703703703704E-3</v>
      </c>
      <c r="BW18" s="472">
        <f t="shared" si="58"/>
        <v>33.609191647608114</v>
      </c>
      <c r="BX18" s="179">
        <f t="shared" si="59"/>
        <v>0.16654696081924045</v>
      </c>
      <c r="BY18" s="6">
        <f t="shared" si="60"/>
        <v>0.65</v>
      </c>
      <c r="BZ18" s="179">
        <f t="shared" si="61"/>
        <v>0.79603504904097111</v>
      </c>
      <c r="CA18" s="6">
        <f t="shared" si="62"/>
        <v>79.603504904097107</v>
      </c>
      <c r="CD18" s="581">
        <f t="shared" si="46"/>
        <v>-50</v>
      </c>
      <c r="CE18">
        <f t="shared" si="47"/>
        <v>-50</v>
      </c>
    </row>
    <row r="19" spans="5:83" x14ac:dyDescent="0.2">
      <c r="E19" s="176">
        <v>14</v>
      </c>
      <c r="F19" s="223">
        <f t="shared" si="48"/>
        <v>0.14000000000000001</v>
      </c>
      <c r="G19" s="223"/>
      <c r="H19" s="223">
        <f t="shared" si="0"/>
        <v>0.70000000000000007</v>
      </c>
      <c r="I19" s="559">
        <f t="shared" si="1"/>
        <v>24</v>
      </c>
      <c r="J19" s="178">
        <f t="shared" si="2"/>
        <v>15.899999999999999</v>
      </c>
      <c r="K19" s="454">
        <f t="shared" si="3"/>
        <v>39.9</v>
      </c>
      <c r="L19" s="454"/>
      <c r="M19" s="223">
        <f t="shared" si="4"/>
        <v>0.39849624060150374</v>
      </c>
      <c r="N19" s="178">
        <f t="shared" si="5"/>
        <v>6.4556390977443598</v>
      </c>
      <c r="O19" s="178">
        <f t="shared" si="49"/>
        <v>0.70000000000000007</v>
      </c>
      <c r="P19" s="223">
        <f t="shared" si="6"/>
        <v>1.291127819548872</v>
      </c>
      <c r="Q19" s="223">
        <f t="shared" si="7"/>
        <v>5</v>
      </c>
      <c r="R19" s="223">
        <f t="shared" si="8"/>
        <v>1.4345864661654135</v>
      </c>
      <c r="S19" s="178">
        <f t="shared" si="9"/>
        <v>107.73650042866906</v>
      </c>
      <c r="T19" s="178">
        <f t="shared" si="10"/>
        <v>5</v>
      </c>
      <c r="U19" s="223">
        <f t="shared" si="11"/>
        <v>0.16264849755415794</v>
      </c>
      <c r="V19" s="223">
        <f t="shared" si="12"/>
        <v>0.20331062194269742</v>
      </c>
      <c r="W19" s="223">
        <f t="shared" si="13"/>
        <v>0.30688395764935461</v>
      </c>
      <c r="X19" s="203">
        <f t="shared" si="14"/>
        <v>350</v>
      </c>
      <c r="Y19" s="454">
        <f t="shared" si="50"/>
        <v>350</v>
      </c>
      <c r="AA19" s="223">
        <f t="shared" si="15"/>
        <v>0.91084854994629427</v>
      </c>
      <c r="AB19" s="179">
        <f t="shared" si="16"/>
        <v>1.7185821697099894</v>
      </c>
      <c r="AC19" s="179">
        <f t="shared" si="17"/>
        <v>0.82181824055304764</v>
      </c>
      <c r="AD19" s="179"/>
      <c r="AE19" s="179">
        <f t="shared" si="18"/>
        <v>0.5660377358490567</v>
      </c>
      <c r="AF19" s="563">
        <f t="shared" si="63"/>
        <v>549.62962962962956</v>
      </c>
      <c r="AG19" s="546">
        <f t="shared" si="19"/>
        <v>8.9150943396226423E-2</v>
      </c>
      <c r="AI19" s="179">
        <f t="shared" si="20"/>
        <v>0.39627898889171126</v>
      </c>
      <c r="AJ19" s="179">
        <f t="shared" si="21"/>
        <v>0.39627898889171126</v>
      </c>
      <c r="AK19" s="179">
        <f t="shared" si="22"/>
        <v>1.2713177695494158</v>
      </c>
      <c r="AM19" s="563">
        <f t="shared" si="23"/>
        <v>140</v>
      </c>
      <c r="AN19" s="472">
        <f t="shared" si="24"/>
        <v>350</v>
      </c>
      <c r="AP19">
        <f t="shared" si="25"/>
        <v>140</v>
      </c>
      <c r="AQ19" s="472">
        <f t="shared" si="26"/>
        <v>350</v>
      </c>
      <c r="AR19" s="472"/>
      <c r="AS19" s="6">
        <f t="shared" si="51"/>
        <v>2.8571428571428572</v>
      </c>
      <c r="AT19" s="6">
        <f t="shared" si="27"/>
        <v>0.49534873611463914</v>
      </c>
      <c r="AU19" s="6">
        <f t="shared" si="52"/>
        <v>2.3617941210282183</v>
      </c>
      <c r="AV19" s="6">
        <f t="shared" si="28"/>
        <v>0.74769620545605908</v>
      </c>
      <c r="AW19" s="179">
        <f t="shared" si="53"/>
        <v>0.1733720576401237</v>
      </c>
      <c r="AX19" s="179">
        <f t="shared" si="29"/>
        <v>0.82444444444444431</v>
      </c>
      <c r="AY19" s="179">
        <f t="shared" si="30"/>
        <v>0.49136292778201135</v>
      </c>
      <c r="AZ19" s="179">
        <f t="shared" si="54"/>
        <v>1.6778727043286454</v>
      </c>
      <c r="BA19" s="472">
        <f t="shared" si="31"/>
        <v>1.3869764611209898</v>
      </c>
      <c r="BB19" s="6">
        <f t="shared" si="32"/>
        <v>6.3783020243817601E-2</v>
      </c>
      <c r="BC19" s="6"/>
      <c r="BD19" s="179">
        <f t="shared" si="55"/>
        <v>9.5264253941023488E-2</v>
      </c>
      <c r="BE19" s="179">
        <f t="shared" si="33"/>
        <v>0.62404615887020143</v>
      </c>
      <c r="BF19" s="179"/>
      <c r="BG19" s="546">
        <f t="shared" si="34"/>
        <v>3.176347327628933E-3</v>
      </c>
      <c r="BH19" s="546">
        <f t="shared" si="35"/>
        <v>4.1505270599045609E-2</v>
      </c>
      <c r="BI19" s="546">
        <f t="shared" si="36"/>
        <v>4.3749999999999995E-3</v>
      </c>
      <c r="BJ19" s="546">
        <f t="shared" si="37"/>
        <v>2.7860175000000001E-2</v>
      </c>
      <c r="BK19">
        <f t="shared" si="38"/>
        <v>6.96E-3</v>
      </c>
      <c r="BL19" s="546">
        <f t="shared" si="39"/>
        <v>8.4398489160125073E-2</v>
      </c>
      <c r="BM19" s="472">
        <f t="shared" si="56"/>
        <v>84.398489160125067</v>
      </c>
      <c r="BN19" s="546">
        <f t="shared" si="40"/>
        <v>5.4320000000000007E-2</v>
      </c>
      <c r="BO19" s="546"/>
      <c r="BQ19" s="472">
        <f t="shared" si="57"/>
        <v>54.320000000000007</v>
      </c>
      <c r="BR19" s="546">
        <f t="shared" si="41"/>
        <v>1.8150556157879617E-3</v>
      </c>
      <c r="BS19" s="546">
        <f t="shared" si="42"/>
        <v>1.5577344336026106E-2</v>
      </c>
      <c r="BT19" s="546">
        <f t="shared" si="43"/>
        <v>1.1327725874445917E-2</v>
      </c>
      <c r="BU19" s="546">
        <f t="shared" si="44"/>
        <v>3.0850138456205604E-2</v>
      </c>
      <c r="BV19" s="546">
        <f t="shared" si="45"/>
        <v>5.4962962962962951E-3</v>
      </c>
      <c r="BW19" s="472">
        <f t="shared" si="58"/>
        <v>36.346434752501899</v>
      </c>
      <c r="BX19" s="179">
        <f t="shared" si="59"/>
        <v>0.17506492391262699</v>
      </c>
      <c r="BY19" s="6">
        <f t="shared" si="60"/>
        <v>0.70000000000000007</v>
      </c>
      <c r="BZ19" s="179">
        <f t="shared" si="61"/>
        <v>0.79994064539820731</v>
      </c>
      <c r="CA19" s="6">
        <f t="shared" si="62"/>
        <v>79.994064539820727</v>
      </c>
      <c r="CD19" s="581">
        <f t="shared" si="46"/>
        <v>-50</v>
      </c>
      <c r="CE19">
        <f t="shared" si="47"/>
        <v>-50</v>
      </c>
    </row>
    <row r="20" spans="5:83" x14ac:dyDescent="0.2">
      <c r="E20" s="176">
        <v>15</v>
      </c>
      <c r="F20" s="223">
        <f t="shared" si="48"/>
        <v>0.15</v>
      </c>
      <c r="G20" s="223"/>
      <c r="H20" s="223">
        <f t="shared" si="0"/>
        <v>0.75</v>
      </c>
      <c r="I20" s="559">
        <f t="shared" si="1"/>
        <v>24</v>
      </c>
      <c r="J20" s="178">
        <f t="shared" si="2"/>
        <v>15.899999999999999</v>
      </c>
      <c r="K20" s="454">
        <f t="shared" si="3"/>
        <v>39.9</v>
      </c>
      <c r="L20" s="454"/>
      <c r="M20" s="223">
        <f t="shared" si="4"/>
        <v>0.39849624060150374</v>
      </c>
      <c r="N20" s="178">
        <f t="shared" si="5"/>
        <v>6.4556390977443598</v>
      </c>
      <c r="O20" s="178">
        <f t="shared" si="49"/>
        <v>0.75</v>
      </c>
      <c r="P20" s="223">
        <f t="shared" si="6"/>
        <v>1.291127819548872</v>
      </c>
      <c r="Q20" s="223">
        <f t="shared" si="7"/>
        <v>5</v>
      </c>
      <c r="R20" s="223">
        <f t="shared" si="8"/>
        <v>1.4345864661654135</v>
      </c>
      <c r="S20" s="178">
        <f t="shared" si="9"/>
        <v>100.02392250960652</v>
      </c>
      <c r="T20" s="178">
        <f t="shared" si="10"/>
        <v>5</v>
      </c>
      <c r="U20" s="223">
        <f t="shared" si="11"/>
        <v>0.17426624737945492</v>
      </c>
      <c r="V20" s="223">
        <f t="shared" si="12"/>
        <v>0.21783280922431866</v>
      </c>
      <c r="W20" s="223">
        <f t="shared" si="13"/>
        <v>0.32880424033859423</v>
      </c>
      <c r="X20" s="203">
        <f t="shared" si="14"/>
        <v>350</v>
      </c>
      <c r="Y20" s="454">
        <f t="shared" si="50"/>
        <v>350</v>
      </c>
      <c r="AA20" s="223">
        <f t="shared" si="15"/>
        <v>0.91084854994629427</v>
      </c>
      <c r="AB20" s="179">
        <f t="shared" si="16"/>
        <v>1.7185821697099894</v>
      </c>
      <c r="AC20" s="179">
        <f t="shared" si="17"/>
        <v>0.82181824055304764</v>
      </c>
      <c r="AD20" s="179"/>
      <c r="AE20" s="179">
        <f t="shared" si="18"/>
        <v>0.5660377358490567</v>
      </c>
      <c r="AF20" s="563">
        <f t="shared" si="63"/>
        <v>588.8888888888888</v>
      </c>
      <c r="AG20" s="546">
        <f t="shared" si="19"/>
        <v>8.9150943396226423E-2</v>
      </c>
      <c r="AI20" s="179">
        <f t="shared" si="20"/>
        <v>0.41018772318777197</v>
      </c>
      <c r="AJ20" s="179">
        <f t="shared" si="21"/>
        <v>0.41018772318777197</v>
      </c>
      <c r="AK20" s="179">
        <f t="shared" si="22"/>
        <v>1.281620535694646</v>
      </c>
      <c r="AM20" s="563">
        <f t="shared" si="23"/>
        <v>150</v>
      </c>
      <c r="AN20" s="472">
        <f t="shared" si="24"/>
        <v>350</v>
      </c>
      <c r="AP20">
        <f t="shared" si="25"/>
        <v>150</v>
      </c>
      <c r="AQ20" s="472">
        <f t="shared" si="26"/>
        <v>350</v>
      </c>
      <c r="AR20" s="472"/>
      <c r="AS20" s="6">
        <f t="shared" si="51"/>
        <v>2.8571428571428572</v>
      </c>
      <c r="AT20" s="6">
        <f t="shared" si="27"/>
        <v>0.51273465398471496</v>
      </c>
      <c r="AU20" s="6">
        <f t="shared" si="52"/>
        <v>2.3444082031581424</v>
      </c>
      <c r="AV20" s="6">
        <f t="shared" si="28"/>
        <v>0.77393910035428681</v>
      </c>
      <c r="AW20" s="179">
        <f t="shared" si="53"/>
        <v>0.17945712889465024</v>
      </c>
      <c r="AX20" s="179">
        <f t="shared" si="29"/>
        <v>0.8833333333333333</v>
      </c>
      <c r="AY20" s="179">
        <f t="shared" si="30"/>
        <v>0.50486491811499123</v>
      </c>
      <c r="AZ20" s="179">
        <f t="shared" si="54"/>
        <v>1.7496429275209409</v>
      </c>
      <c r="BA20" s="472">
        <f t="shared" si="31"/>
        <v>1.538203961954145</v>
      </c>
      <c r="BB20" s="6">
        <f t="shared" si="32"/>
        <v>6.7835885508048088E-2</v>
      </c>
      <c r="BC20" s="6"/>
      <c r="BD20" s="179">
        <f t="shared" si="55"/>
        <v>0.10032343373308281</v>
      </c>
      <c r="BE20" s="179">
        <f t="shared" si="33"/>
        <v>0.64356723235256352</v>
      </c>
      <c r="BF20" s="179"/>
      <c r="BG20" s="546">
        <f t="shared" si="34"/>
        <v>3.5226769745986897E-3</v>
      </c>
      <c r="BH20" s="546">
        <f t="shared" si="35"/>
        <v>4.2962036657379257E-2</v>
      </c>
      <c r="BI20" s="546">
        <f t="shared" si="36"/>
        <v>4.3749999999999995E-3</v>
      </c>
      <c r="BJ20" s="546">
        <f t="shared" si="37"/>
        <v>2.7860175000000001E-2</v>
      </c>
      <c r="BK20">
        <f t="shared" si="38"/>
        <v>6.96E-3</v>
      </c>
      <c r="BL20" s="546">
        <f t="shared" si="39"/>
        <v>8.6260740536588026E-2</v>
      </c>
      <c r="BM20" s="472">
        <f t="shared" si="56"/>
        <v>86.260740536588031</v>
      </c>
      <c r="BN20" s="546">
        <f t="shared" si="40"/>
        <v>5.8199999999999995E-2</v>
      </c>
      <c r="BO20" s="546"/>
      <c r="BQ20" s="472">
        <f t="shared" si="57"/>
        <v>58.199999999999996</v>
      </c>
      <c r="BR20" s="546">
        <f t="shared" si="41"/>
        <v>2.0129582711992514E-3</v>
      </c>
      <c r="BS20" s="546">
        <f t="shared" si="42"/>
        <v>1.6567151302317541E-2</v>
      </c>
      <c r="BT20" s="546">
        <f t="shared" si="43"/>
        <v>1.2348003956802604E-2</v>
      </c>
      <c r="BU20" s="546">
        <f t="shared" si="44"/>
        <v>3.3207085982835678E-2</v>
      </c>
      <c r="BV20" s="546">
        <f t="shared" si="45"/>
        <v>5.888888888888888E-3</v>
      </c>
      <c r="BW20" s="472">
        <f t="shared" si="58"/>
        <v>39.095974871724565</v>
      </c>
      <c r="BX20" s="179">
        <f t="shared" si="59"/>
        <v>0.18355671540831259</v>
      </c>
      <c r="BY20" s="6">
        <f t="shared" si="60"/>
        <v>0.75</v>
      </c>
      <c r="BZ20" s="179">
        <f t="shared" si="61"/>
        <v>0.80337914946278344</v>
      </c>
      <c r="CA20" s="6">
        <f t="shared" si="62"/>
        <v>80.337914946278346</v>
      </c>
      <c r="CD20" s="581">
        <f t="shared" si="46"/>
        <v>-50</v>
      </c>
      <c r="CE20">
        <f t="shared" si="47"/>
        <v>-50</v>
      </c>
    </row>
    <row r="21" spans="5:83" s="78" customFormat="1" x14ac:dyDescent="0.2">
      <c r="E21" s="195">
        <v>16</v>
      </c>
      <c r="F21" s="335">
        <f t="shared" si="48"/>
        <v>0.16</v>
      </c>
      <c r="G21" s="223"/>
      <c r="H21" s="223">
        <f t="shared" si="0"/>
        <v>0.8</v>
      </c>
      <c r="I21" s="559">
        <f t="shared" si="1"/>
        <v>24</v>
      </c>
      <c r="J21" s="178">
        <f t="shared" si="2"/>
        <v>15.899999999999999</v>
      </c>
      <c r="K21" s="553">
        <f t="shared" si="3"/>
        <v>39.9</v>
      </c>
      <c r="L21" s="553"/>
      <c r="M21" s="335">
        <f t="shared" si="4"/>
        <v>0.39849624060150374</v>
      </c>
      <c r="N21" s="178">
        <f t="shared" si="5"/>
        <v>6.4556390977443598</v>
      </c>
      <c r="O21" s="178">
        <f t="shared" si="49"/>
        <v>0.8</v>
      </c>
      <c r="P21" s="335">
        <f t="shared" si="6"/>
        <v>1.291127819548872</v>
      </c>
      <c r="Q21" s="223">
        <f t="shared" si="7"/>
        <v>5</v>
      </c>
      <c r="R21" s="223">
        <f t="shared" si="8"/>
        <v>1.4345864661654135</v>
      </c>
      <c r="S21" s="178">
        <f t="shared" si="9"/>
        <v>93.275647698509474</v>
      </c>
      <c r="T21" s="178">
        <f t="shared" si="10"/>
        <v>5</v>
      </c>
      <c r="U21" s="223">
        <f t="shared" si="11"/>
        <v>0.18588399720475193</v>
      </c>
      <c r="V21" s="335">
        <f t="shared" si="12"/>
        <v>0.23235499650593991</v>
      </c>
      <c r="W21" s="223">
        <f t="shared" si="13"/>
        <v>0.35072452302783386</v>
      </c>
      <c r="X21" s="555">
        <f t="shared" si="14"/>
        <v>350</v>
      </c>
      <c r="Y21" s="553">
        <f t="shared" si="50"/>
        <v>350</v>
      </c>
      <c r="AA21" s="335">
        <f t="shared" si="15"/>
        <v>0.91084854994629427</v>
      </c>
      <c r="AB21" s="179">
        <f t="shared" si="16"/>
        <v>1.7185821697099894</v>
      </c>
      <c r="AC21" s="556">
        <f t="shared" si="17"/>
        <v>0.82181824055304764</v>
      </c>
      <c r="AD21" s="556"/>
      <c r="AE21" s="179">
        <f t="shared" si="18"/>
        <v>0.5660377358490567</v>
      </c>
      <c r="AF21" s="563">
        <f t="shared" si="63"/>
        <v>628.14814814814804</v>
      </c>
      <c r="AG21" s="546">
        <f t="shared" si="19"/>
        <v>8.9150943396226423E-2</v>
      </c>
      <c r="AH21"/>
      <c r="AI21" s="179">
        <f t="shared" si="20"/>
        <v>0.42364005885999434</v>
      </c>
      <c r="AJ21" s="179">
        <f t="shared" si="21"/>
        <v>0.42364005885999434</v>
      </c>
      <c r="AK21" s="179">
        <f t="shared" si="22"/>
        <v>1.291585228785181</v>
      </c>
      <c r="AM21" s="563">
        <f t="shared" si="23"/>
        <v>160</v>
      </c>
      <c r="AN21" s="472">
        <f t="shared" si="24"/>
        <v>350</v>
      </c>
      <c r="AP21">
        <f t="shared" si="25"/>
        <v>160</v>
      </c>
      <c r="AQ21" s="472">
        <f t="shared" si="26"/>
        <v>350</v>
      </c>
      <c r="AR21" s="472"/>
      <c r="AS21" s="6">
        <f t="shared" si="51"/>
        <v>2.8571428571428572</v>
      </c>
      <c r="AT21" s="6">
        <f t="shared" si="27"/>
        <v>0.52955007357499295</v>
      </c>
      <c r="AU21" s="6">
        <f t="shared" si="52"/>
        <v>2.327592783567864</v>
      </c>
      <c r="AV21" s="6">
        <f t="shared" si="28"/>
        <v>0.79932086577357431</v>
      </c>
      <c r="AW21" s="179">
        <f t="shared" si="53"/>
        <v>0.18534252575124752</v>
      </c>
      <c r="AX21" s="179">
        <f t="shared" si="29"/>
        <v>0.94222222222222218</v>
      </c>
      <c r="AY21" s="179">
        <f t="shared" si="30"/>
        <v>0.51768231051221369</v>
      </c>
      <c r="AZ21" s="179">
        <f t="shared" si="54"/>
        <v>1.820078073152535</v>
      </c>
      <c r="BA21" s="472">
        <f t="shared" si="31"/>
        <v>1.6945602354399776</v>
      </c>
      <c r="BB21" s="6">
        <f t="shared" si="32"/>
        <v>7.1839283443452584E-2</v>
      </c>
      <c r="BC21" s="6"/>
      <c r="BD21" s="179">
        <f t="shared" si="55"/>
        <v>0.10529892339871402</v>
      </c>
      <c r="BE21" s="179">
        <f t="shared" si="33"/>
        <v>0.66228538334493248</v>
      </c>
      <c r="BF21" s="179"/>
      <c r="BG21" s="546">
        <f t="shared" si="34"/>
        <v>3.8807521441248851E-3</v>
      </c>
      <c r="BH21" s="546">
        <f t="shared" si="35"/>
        <v>4.4371000664848656E-2</v>
      </c>
      <c r="BI21" s="546">
        <f t="shared" si="36"/>
        <v>4.3749999999999995E-3</v>
      </c>
      <c r="BJ21" s="546">
        <f t="shared" si="37"/>
        <v>2.7860175000000001E-2</v>
      </c>
      <c r="BK21">
        <f t="shared" si="38"/>
        <v>6.96E-3</v>
      </c>
      <c r="BL21" s="546">
        <f t="shared" si="39"/>
        <v>8.8089281297639516E-2</v>
      </c>
      <c r="BM21" s="472">
        <f t="shared" si="56"/>
        <v>88.089281297639516</v>
      </c>
      <c r="BN21" s="546">
        <f t="shared" si="40"/>
        <v>6.2079999999999996E-2</v>
      </c>
      <c r="BO21" s="546"/>
      <c r="BQ21" s="472">
        <f t="shared" si="57"/>
        <v>62.08</v>
      </c>
      <c r="BR21" s="546">
        <f t="shared" si="41"/>
        <v>2.217572653785649E-3</v>
      </c>
      <c r="BS21" s="546">
        <f t="shared" si="42"/>
        <v>1.7544877159693766E-2</v>
      </c>
      <c r="BT21" s="546">
        <f t="shared" si="43"/>
        <v>1.3385440394227552E-2</v>
      </c>
      <c r="BU21" s="546">
        <f t="shared" si="44"/>
        <v>3.5575629112117389E-2</v>
      </c>
      <c r="BV21" s="546">
        <f t="shared" si="45"/>
        <v>6.2814814814814825E-3</v>
      </c>
      <c r="BW21" s="472">
        <f t="shared" si="58"/>
        <v>41.857110593598875</v>
      </c>
      <c r="BX21" s="179">
        <f t="shared" si="59"/>
        <v>0.19202639189123838</v>
      </c>
      <c r="BY21" s="6">
        <f t="shared" si="60"/>
        <v>0.8</v>
      </c>
      <c r="BZ21" s="179">
        <f t="shared" si="61"/>
        <v>0.80643015804735629</v>
      </c>
      <c r="CA21" s="6">
        <f t="shared" si="62"/>
        <v>80.643015804735626</v>
      </c>
      <c r="CD21" s="581">
        <f t="shared" si="46"/>
        <v>-50</v>
      </c>
      <c r="CE21">
        <f t="shared" si="47"/>
        <v>-50</v>
      </c>
    </row>
    <row r="22" spans="5:83" x14ac:dyDescent="0.2">
      <c r="E22" s="176">
        <v>17</v>
      </c>
      <c r="F22" s="223">
        <f t="shared" si="48"/>
        <v>0.17</v>
      </c>
      <c r="G22" s="223"/>
      <c r="H22" s="223">
        <f t="shared" si="0"/>
        <v>0.85000000000000009</v>
      </c>
      <c r="I22" s="559">
        <f t="shared" si="1"/>
        <v>24</v>
      </c>
      <c r="J22" s="178">
        <f t="shared" si="2"/>
        <v>15.899999999999999</v>
      </c>
      <c r="K22" s="454">
        <f t="shared" si="3"/>
        <v>39.9</v>
      </c>
      <c r="L22" s="454"/>
      <c r="M22" s="223">
        <f t="shared" si="4"/>
        <v>0.39849624060150374</v>
      </c>
      <c r="N22" s="178">
        <f t="shared" si="5"/>
        <v>6.4556390977443598</v>
      </c>
      <c r="O22" s="178">
        <f t="shared" si="49"/>
        <v>0.85000000000000009</v>
      </c>
      <c r="P22" s="223">
        <f t="shared" si="6"/>
        <v>1.291127819548872</v>
      </c>
      <c r="Q22" s="223">
        <f t="shared" si="7"/>
        <v>5</v>
      </c>
      <c r="R22" s="223">
        <f t="shared" si="8"/>
        <v>1.4345864661654135</v>
      </c>
      <c r="S22" s="178">
        <f t="shared" si="9"/>
        <v>87.321508182211545</v>
      </c>
      <c r="T22" s="178">
        <f t="shared" si="10"/>
        <v>5</v>
      </c>
      <c r="U22" s="223">
        <f t="shared" si="11"/>
        <v>0.19750174703004894</v>
      </c>
      <c r="V22" s="223">
        <f t="shared" si="12"/>
        <v>0.24687718378756118</v>
      </c>
      <c r="W22" s="223">
        <f t="shared" si="13"/>
        <v>0.37264480571707354</v>
      </c>
      <c r="X22" s="203">
        <f t="shared" si="14"/>
        <v>350</v>
      </c>
      <c r="Y22" s="454">
        <f t="shared" si="50"/>
        <v>350</v>
      </c>
      <c r="AA22" s="223">
        <f t="shared" si="15"/>
        <v>0.91084854994629427</v>
      </c>
      <c r="AB22" s="179">
        <f t="shared" si="16"/>
        <v>1.7185821697099894</v>
      </c>
      <c r="AC22" s="179">
        <f t="shared" si="17"/>
        <v>0.82181824055304764</v>
      </c>
      <c r="AD22" s="179"/>
      <c r="AE22" s="179">
        <f t="shared" si="18"/>
        <v>0.5660377358490567</v>
      </c>
      <c r="AF22" s="563">
        <f t="shared" si="63"/>
        <v>667.40740740740728</v>
      </c>
      <c r="AG22" s="546">
        <f t="shared" si="19"/>
        <v>8.9150943396226423E-2</v>
      </c>
      <c r="AI22" s="179">
        <f t="shared" si="20"/>
        <v>0.43667817748065985</v>
      </c>
      <c r="AJ22" s="179">
        <f t="shared" si="21"/>
        <v>0.43667817748065985</v>
      </c>
      <c r="AK22" s="179">
        <f t="shared" si="22"/>
        <v>1.3012430944301183</v>
      </c>
      <c r="AM22" s="563">
        <f t="shared" si="23"/>
        <v>170</v>
      </c>
      <c r="AN22" s="472">
        <f t="shared" si="24"/>
        <v>350</v>
      </c>
      <c r="AP22">
        <f t="shared" si="25"/>
        <v>170</v>
      </c>
      <c r="AQ22" s="472">
        <f t="shared" si="26"/>
        <v>350</v>
      </c>
      <c r="AR22" s="472"/>
      <c r="AS22" s="6">
        <f t="shared" si="51"/>
        <v>2.8571428571428572</v>
      </c>
      <c r="AT22" s="6">
        <f t="shared" si="27"/>
        <v>0.54584772185082486</v>
      </c>
      <c r="AU22" s="6">
        <f t="shared" si="52"/>
        <v>2.3112951352920321</v>
      </c>
      <c r="AV22" s="6">
        <f t="shared" si="28"/>
        <v>0.82392108958615073</v>
      </c>
      <c r="AW22" s="179">
        <f t="shared" si="53"/>
        <v>0.1910467026477887</v>
      </c>
      <c r="AX22" s="179">
        <f t="shared" si="29"/>
        <v>1.0011111111111111</v>
      </c>
      <c r="AY22" s="179">
        <f t="shared" si="30"/>
        <v>0.52987837733210086</v>
      </c>
      <c r="AZ22" s="179">
        <f t="shared" si="54"/>
        <v>1.8893224444289136</v>
      </c>
      <c r="BA22" s="472">
        <f t="shared" si="31"/>
        <v>1.8558822542928046</v>
      </c>
      <c r="BB22" s="6">
        <f t="shared" si="32"/>
        <v>7.5794786458264943E-2</v>
      </c>
      <c r="BC22" s="6"/>
      <c r="BD22" s="179">
        <f t="shared" si="55"/>
        <v>0.11019721909372285</v>
      </c>
      <c r="BE22" s="179">
        <f t="shared" si="33"/>
        <v>0.68027395084596787</v>
      </c>
      <c r="BF22" s="179"/>
      <c r="BG22" s="546">
        <f t="shared" si="34"/>
        <v>4.2501994835964845E-3</v>
      </c>
      <c r="BH22" s="546">
        <f t="shared" si="35"/>
        <v>4.5736580613880598E-2</v>
      </c>
      <c r="BI22" s="546">
        <f t="shared" si="36"/>
        <v>4.3749999999999995E-3</v>
      </c>
      <c r="BJ22" s="546">
        <f t="shared" si="37"/>
        <v>2.7860175000000001E-2</v>
      </c>
      <c r="BK22">
        <f t="shared" si="38"/>
        <v>6.96E-3</v>
      </c>
      <c r="BL22" s="546">
        <f t="shared" si="39"/>
        <v>8.9888109718498782E-2</v>
      </c>
      <c r="BM22" s="472">
        <f t="shared" si="56"/>
        <v>89.888109718498782</v>
      </c>
      <c r="BN22" s="546">
        <f t="shared" si="40"/>
        <v>6.5960000000000005E-2</v>
      </c>
      <c r="BO22" s="546"/>
      <c r="BQ22" s="472">
        <f t="shared" si="57"/>
        <v>65.960000000000008</v>
      </c>
      <c r="BR22" s="546">
        <f t="shared" si="41"/>
        <v>2.4286854191979913E-3</v>
      </c>
      <c r="BS22" s="546">
        <f t="shared" si="42"/>
        <v>1.8510905927983292E-2</v>
      </c>
      <c r="BT22" s="546">
        <f t="shared" si="43"/>
        <v>1.443922347101427E-2</v>
      </c>
      <c r="BU22" s="546">
        <f t="shared" si="44"/>
        <v>3.795514700127562E-2</v>
      </c>
      <c r="BV22" s="546">
        <f t="shared" si="45"/>
        <v>6.6740740740740727E-3</v>
      </c>
      <c r="BW22" s="472">
        <f t="shared" si="58"/>
        <v>44.629221075349697</v>
      </c>
      <c r="BX22" s="179">
        <f t="shared" si="59"/>
        <v>0.20047733079384847</v>
      </c>
      <c r="BY22" s="6">
        <f t="shared" si="60"/>
        <v>0.85000000000000009</v>
      </c>
      <c r="BZ22" s="179">
        <f t="shared" si="61"/>
        <v>0.80915596660962952</v>
      </c>
      <c r="CA22" s="6">
        <f t="shared" si="62"/>
        <v>80.915596660962947</v>
      </c>
      <c r="CD22" s="581">
        <f t="shared" si="46"/>
        <v>-50</v>
      </c>
      <c r="CE22">
        <f t="shared" si="47"/>
        <v>-50</v>
      </c>
    </row>
    <row r="23" spans="5:83" x14ac:dyDescent="0.2">
      <c r="E23" s="176">
        <v>18</v>
      </c>
      <c r="F23" s="223">
        <f t="shared" si="48"/>
        <v>0.18</v>
      </c>
      <c r="G23" s="223"/>
      <c r="H23" s="223">
        <f t="shared" si="0"/>
        <v>0.89999999999999991</v>
      </c>
      <c r="I23" s="559">
        <f t="shared" si="1"/>
        <v>24</v>
      </c>
      <c r="J23" s="178">
        <f t="shared" si="2"/>
        <v>15.899999999999999</v>
      </c>
      <c r="K23" s="454">
        <f t="shared" si="3"/>
        <v>39.9</v>
      </c>
      <c r="L23" s="454"/>
      <c r="M23" s="223">
        <f t="shared" si="4"/>
        <v>0.39849624060150374</v>
      </c>
      <c r="N23" s="178">
        <f t="shared" si="5"/>
        <v>6.4556390977443598</v>
      </c>
      <c r="O23" s="178">
        <f t="shared" si="49"/>
        <v>0.89999999999999991</v>
      </c>
      <c r="P23" s="223">
        <f t="shared" si="6"/>
        <v>1.291127819548872</v>
      </c>
      <c r="Q23" s="223">
        <f t="shared" si="7"/>
        <v>5</v>
      </c>
      <c r="R23" s="223">
        <f t="shared" si="8"/>
        <v>1.4345864661654135</v>
      </c>
      <c r="S23" s="178">
        <f t="shared" si="9"/>
        <v>82.029151278286449</v>
      </c>
      <c r="T23" s="178">
        <f t="shared" si="10"/>
        <v>5</v>
      </c>
      <c r="U23" s="223">
        <f t="shared" si="11"/>
        <v>0.20911949685534589</v>
      </c>
      <c r="V23" s="223">
        <f t="shared" si="12"/>
        <v>0.26139937106918237</v>
      </c>
      <c r="W23" s="223">
        <f t="shared" si="13"/>
        <v>0.39456508840631299</v>
      </c>
      <c r="X23" s="203">
        <f t="shared" si="14"/>
        <v>350</v>
      </c>
      <c r="Y23" s="454">
        <f t="shared" si="50"/>
        <v>350</v>
      </c>
      <c r="AA23" s="223">
        <f t="shared" si="15"/>
        <v>0.91084854994629427</v>
      </c>
      <c r="AB23" s="179">
        <f t="shared" si="16"/>
        <v>1.7185821697099894</v>
      </c>
      <c r="AC23" s="179">
        <f t="shared" si="17"/>
        <v>0.82181824055304764</v>
      </c>
      <c r="AD23" s="179"/>
      <c r="AE23" s="179">
        <f t="shared" si="18"/>
        <v>0.5660377358490567</v>
      </c>
      <c r="AF23" s="563">
        <f t="shared" si="63"/>
        <v>706.66666666666652</v>
      </c>
      <c r="AG23" s="546">
        <f t="shared" si="19"/>
        <v>8.9150943396226423E-2</v>
      </c>
      <c r="AI23" s="179">
        <f t="shared" si="20"/>
        <v>0.44933813760325514</v>
      </c>
      <c r="AJ23" s="179">
        <f t="shared" si="21"/>
        <v>0.44933813760325514</v>
      </c>
      <c r="AK23" s="179">
        <f t="shared" si="22"/>
        <v>1.3106208426690777</v>
      </c>
      <c r="AM23" s="563">
        <f t="shared" si="23"/>
        <v>180</v>
      </c>
      <c r="AN23" s="472">
        <f t="shared" si="24"/>
        <v>350</v>
      </c>
      <c r="AP23">
        <f t="shared" si="25"/>
        <v>180</v>
      </c>
      <c r="AQ23" s="472">
        <f t="shared" si="26"/>
        <v>350</v>
      </c>
      <c r="AR23" s="472"/>
      <c r="AS23" s="6">
        <f t="shared" si="51"/>
        <v>2.8571428571428572</v>
      </c>
      <c r="AT23" s="6">
        <f t="shared" si="27"/>
        <v>0.56167267200406901</v>
      </c>
      <c r="AU23" s="6">
        <f t="shared" si="52"/>
        <v>2.2954701851387882</v>
      </c>
      <c r="AV23" s="6">
        <f t="shared" si="28"/>
        <v>0.84780780679859469</v>
      </c>
      <c r="AW23" s="179">
        <f t="shared" si="53"/>
        <v>0.19658543520142416</v>
      </c>
      <c r="AX23" s="179">
        <f t="shared" si="29"/>
        <v>1.0599999999999998</v>
      </c>
      <c r="AY23" s="179">
        <f t="shared" si="30"/>
        <v>0.54150720640488281</v>
      </c>
      <c r="AZ23" s="179">
        <f t="shared" si="54"/>
        <v>1.9574993415829853</v>
      </c>
      <c r="BA23" s="472">
        <f t="shared" si="31"/>
        <v>2.0220216192146485</v>
      </c>
      <c r="BB23" s="6">
        <f t="shared" si="32"/>
        <v>7.970382587287457E-2</v>
      </c>
      <c r="BC23" s="6"/>
      <c r="BD23" s="179">
        <f t="shared" si="55"/>
        <v>0.11502396197935966</v>
      </c>
      <c r="BE23" s="179">
        <f t="shared" si="33"/>
        <v>0.69759564165024923</v>
      </c>
      <c r="BF23" s="179"/>
      <c r="BG23" s="546">
        <f t="shared" si="34"/>
        <v>4.6306791403002119E-3</v>
      </c>
      <c r="BH23" s="546">
        <f t="shared" si="35"/>
        <v>4.7062553187220919E-2</v>
      </c>
      <c r="BI23" s="546">
        <f t="shared" si="36"/>
        <v>4.3749999999999995E-3</v>
      </c>
      <c r="BJ23" s="546">
        <f t="shared" si="37"/>
        <v>2.7860175000000001E-2</v>
      </c>
      <c r="BK23">
        <f t="shared" si="38"/>
        <v>6.96E-3</v>
      </c>
      <c r="BL23" s="546">
        <f t="shared" si="39"/>
        <v>9.1660621257613303E-2</v>
      </c>
      <c r="BM23" s="472">
        <f t="shared" si="56"/>
        <v>91.6606212576133</v>
      </c>
      <c r="BN23" s="546">
        <f t="shared" si="40"/>
        <v>6.9839999999999999E-2</v>
      </c>
      <c r="BO23" s="546"/>
      <c r="BQ23" s="472">
        <f t="shared" si="57"/>
        <v>69.84</v>
      </c>
      <c r="BR23" s="546">
        <f t="shared" si="41"/>
        <v>2.6461023658858355E-3</v>
      </c>
      <c r="BS23" s="546">
        <f t="shared" si="42"/>
        <v>1.9465587169976917E-2</v>
      </c>
      <c r="BT23" s="546">
        <f t="shared" si="43"/>
        <v>1.5508625811050837E-2</v>
      </c>
      <c r="BU23" s="546">
        <f t="shared" si="44"/>
        <v>4.034508593237187E-2</v>
      </c>
      <c r="BV23" s="546">
        <f t="shared" si="45"/>
        <v>7.0666666666666655E-3</v>
      </c>
      <c r="BW23" s="472">
        <f t="shared" si="58"/>
        <v>47.411752599038536</v>
      </c>
      <c r="BX23" s="179">
        <f t="shared" si="59"/>
        <v>0.20891237385665185</v>
      </c>
      <c r="BY23" s="6">
        <f t="shared" si="60"/>
        <v>0.89999999999999991</v>
      </c>
      <c r="BZ23" s="179">
        <f t="shared" si="61"/>
        <v>0.81160605762736504</v>
      </c>
      <c r="CA23" s="6">
        <f t="shared" si="62"/>
        <v>81.160605762736509</v>
      </c>
      <c r="CD23" s="581">
        <f t="shared" si="46"/>
        <v>-50</v>
      </c>
      <c r="CE23">
        <f t="shared" si="47"/>
        <v>-50</v>
      </c>
    </row>
    <row r="24" spans="5:83" x14ac:dyDescent="0.2">
      <c r="E24" s="176">
        <v>19</v>
      </c>
      <c r="F24" s="223">
        <f t="shared" si="48"/>
        <v>0.19</v>
      </c>
      <c r="G24" s="223"/>
      <c r="H24" s="223">
        <f t="shared" si="0"/>
        <v>0.95</v>
      </c>
      <c r="I24" s="559">
        <f t="shared" si="1"/>
        <v>24</v>
      </c>
      <c r="J24" s="178">
        <f t="shared" si="2"/>
        <v>15.899999999999999</v>
      </c>
      <c r="K24" s="454">
        <f t="shared" si="3"/>
        <v>39.9</v>
      </c>
      <c r="L24" s="454"/>
      <c r="M24" s="223">
        <f t="shared" si="4"/>
        <v>0.39849624060150374</v>
      </c>
      <c r="N24" s="178">
        <f t="shared" si="5"/>
        <v>6.4556390977443598</v>
      </c>
      <c r="O24" s="178">
        <f t="shared" si="49"/>
        <v>0.95</v>
      </c>
      <c r="P24" s="223">
        <f t="shared" si="6"/>
        <v>1.291127819548872</v>
      </c>
      <c r="Q24" s="223">
        <f t="shared" si="7"/>
        <v>5</v>
      </c>
      <c r="R24" s="223">
        <f t="shared" si="8"/>
        <v>1.4345864661654135</v>
      </c>
      <c r="S24" s="178">
        <f t="shared" si="9"/>
        <v>77.294088086188211</v>
      </c>
      <c r="T24" s="178">
        <f t="shared" si="10"/>
        <v>5</v>
      </c>
      <c r="U24" s="223">
        <f t="shared" si="11"/>
        <v>0.2207372466806429</v>
      </c>
      <c r="V24" s="223">
        <f t="shared" si="12"/>
        <v>0.27592155835080368</v>
      </c>
      <c r="W24" s="223">
        <f t="shared" si="13"/>
        <v>0.41648537109555273</v>
      </c>
      <c r="X24" s="203">
        <f t="shared" si="14"/>
        <v>350</v>
      </c>
      <c r="Y24" s="454">
        <f t="shared" si="50"/>
        <v>350</v>
      </c>
      <c r="AA24" s="223">
        <f t="shared" si="15"/>
        <v>0.91084854994629427</v>
      </c>
      <c r="AB24" s="179">
        <f t="shared" si="16"/>
        <v>1.7185821697099894</v>
      </c>
      <c r="AC24" s="179">
        <f t="shared" si="17"/>
        <v>0.82181824055304764</v>
      </c>
      <c r="AD24" s="179"/>
      <c r="AE24" s="179">
        <f t="shared" si="18"/>
        <v>0.5660377358490567</v>
      </c>
      <c r="AF24" s="563">
        <f t="shared" si="63"/>
        <v>745.92592592592587</v>
      </c>
      <c r="AG24" s="546">
        <f t="shared" si="19"/>
        <v>8.9150943396226423E-2</v>
      </c>
      <c r="AI24" s="179">
        <f t="shared" si="20"/>
        <v>0.46165105125158451</v>
      </c>
      <c r="AJ24" s="179">
        <f t="shared" si="21"/>
        <v>0.46165105125158451</v>
      </c>
      <c r="AK24" s="179">
        <f t="shared" si="22"/>
        <v>1.3197415194456181</v>
      </c>
      <c r="AM24" s="563">
        <f t="shared" si="23"/>
        <v>190</v>
      </c>
      <c r="AN24" s="472">
        <f t="shared" si="24"/>
        <v>350</v>
      </c>
      <c r="AP24">
        <f t="shared" si="25"/>
        <v>190</v>
      </c>
      <c r="AQ24" s="472">
        <f t="shared" si="26"/>
        <v>350</v>
      </c>
      <c r="AR24" s="472"/>
      <c r="AS24" s="6">
        <f t="shared" si="51"/>
        <v>2.8571428571428572</v>
      </c>
      <c r="AT24" s="6">
        <f t="shared" si="27"/>
        <v>0.57706381406448071</v>
      </c>
      <c r="AU24" s="6">
        <f t="shared" si="52"/>
        <v>2.2800790430783766</v>
      </c>
      <c r="AV24" s="6">
        <f t="shared" si="28"/>
        <v>0.87103971934261226</v>
      </c>
      <c r="AW24" s="179">
        <f t="shared" si="53"/>
        <v>0.20197233492256825</v>
      </c>
      <c r="AX24" s="179">
        <f t="shared" si="29"/>
        <v>1.1188888888888888</v>
      </c>
      <c r="AY24" s="179">
        <f t="shared" si="30"/>
        <v>0.55261546576626563</v>
      </c>
      <c r="AZ24" s="179">
        <f t="shared" si="54"/>
        <v>2.0247151196491022</v>
      </c>
      <c r="BA24" s="472">
        <f t="shared" si="31"/>
        <v>2.1928424934450264</v>
      </c>
      <c r="BB24" s="6">
        <f t="shared" si="32"/>
        <v>8.3567711841221359E-2</v>
      </c>
      <c r="BC24" s="6"/>
      <c r="BD24" s="179">
        <f t="shared" si="55"/>
        <v>0.11978409185201989</v>
      </c>
      <c r="BE24" s="179">
        <f t="shared" si="33"/>
        <v>0.71430457188636343</v>
      </c>
      <c r="BF24" s="179"/>
      <c r="BG24" s="546">
        <f t="shared" si="34"/>
        <v>5.0218800312845984E-3</v>
      </c>
      <c r="BH24" s="546">
        <f t="shared" si="35"/>
        <v>4.8352176980462819E-2</v>
      </c>
      <c r="BI24" s="546">
        <f t="shared" si="36"/>
        <v>4.3749999999999995E-3</v>
      </c>
      <c r="BJ24" s="546">
        <f t="shared" si="37"/>
        <v>2.7860175000000001E-2</v>
      </c>
      <c r="BK24">
        <f t="shared" si="38"/>
        <v>6.96E-3</v>
      </c>
      <c r="BL24" s="546">
        <f t="shared" si="39"/>
        <v>9.3409726346245808E-2</v>
      </c>
      <c r="BM24" s="472">
        <f t="shared" si="56"/>
        <v>93.409726346245805</v>
      </c>
      <c r="BN24" s="546">
        <f t="shared" si="40"/>
        <v>7.3720000000000008E-2</v>
      </c>
      <c r="BO24" s="546"/>
      <c r="BQ24" s="472">
        <f t="shared" si="57"/>
        <v>73.720000000000013</v>
      </c>
      <c r="BR24" s="546">
        <f t="shared" si="41"/>
        <v>2.8696457321626279E-3</v>
      </c>
      <c r="BS24" s="546">
        <f t="shared" si="42"/>
        <v>2.0409240856710437E-2</v>
      </c>
      <c r="BT24" s="546">
        <f t="shared" si="43"/>
        <v>1.6592991371314814E-2</v>
      </c>
      <c r="BU24" s="546">
        <f t="shared" si="44"/>
        <v>4.2744948735962379E-2</v>
      </c>
      <c r="BV24" s="546">
        <f t="shared" si="45"/>
        <v>7.4592592592592584E-3</v>
      </c>
      <c r="BW24" s="472">
        <f t="shared" si="58"/>
        <v>50.204207995221637</v>
      </c>
      <c r="BX24" s="179">
        <f t="shared" si="59"/>
        <v>0.21733393434146744</v>
      </c>
      <c r="BY24" s="6">
        <f t="shared" si="60"/>
        <v>0.95</v>
      </c>
      <c r="BZ24" s="179">
        <f t="shared" si="61"/>
        <v>0.81382025490069132</v>
      </c>
      <c r="CA24" s="6">
        <f t="shared" si="62"/>
        <v>81.382025490069125</v>
      </c>
      <c r="CD24" s="581">
        <f t="shared" si="46"/>
        <v>-50</v>
      </c>
      <c r="CE24">
        <f t="shared" si="47"/>
        <v>-50</v>
      </c>
    </row>
    <row r="25" spans="5:83" x14ac:dyDescent="0.2">
      <c r="E25" s="176">
        <v>20</v>
      </c>
      <c r="F25" s="223">
        <f t="shared" si="48"/>
        <v>0.2</v>
      </c>
      <c r="G25" s="223"/>
      <c r="H25" s="223">
        <f t="shared" si="0"/>
        <v>1</v>
      </c>
      <c r="I25" s="559">
        <f t="shared" si="1"/>
        <v>24</v>
      </c>
      <c r="J25" s="178">
        <f t="shared" si="2"/>
        <v>15.899999999999999</v>
      </c>
      <c r="K25" s="454">
        <f t="shared" si="3"/>
        <v>39.9</v>
      </c>
      <c r="L25" s="454"/>
      <c r="M25" s="223">
        <f t="shared" si="4"/>
        <v>0.39849624060150374</v>
      </c>
      <c r="N25" s="178">
        <f t="shared" si="5"/>
        <v>6.4556390977443598</v>
      </c>
      <c r="O25" s="178">
        <f t="shared" si="49"/>
        <v>1</v>
      </c>
      <c r="P25" s="223">
        <f t="shared" si="6"/>
        <v>1.291127819548872</v>
      </c>
      <c r="Q25" s="223">
        <f t="shared" si="7"/>
        <v>5</v>
      </c>
      <c r="R25" s="223">
        <f t="shared" si="8"/>
        <v>1.4345864661654135</v>
      </c>
      <c r="S25" s="178">
        <f t="shared" si="9"/>
        <v>73.03272754308216</v>
      </c>
      <c r="T25" s="178">
        <f t="shared" si="10"/>
        <v>5</v>
      </c>
      <c r="U25" s="223">
        <f t="shared" si="11"/>
        <v>0.23235499650593988</v>
      </c>
      <c r="V25" s="223">
        <f t="shared" si="12"/>
        <v>0.29044374563242487</v>
      </c>
      <c r="W25" s="223">
        <f t="shared" si="13"/>
        <v>0.43840565378479224</v>
      </c>
      <c r="X25" s="203">
        <f t="shared" si="14"/>
        <v>350</v>
      </c>
      <c r="Y25" s="454">
        <f t="shared" si="50"/>
        <v>350</v>
      </c>
      <c r="AA25" s="223">
        <f t="shared" si="15"/>
        <v>0.91084854994629427</v>
      </c>
      <c r="AB25" s="179">
        <f t="shared" si="16"/>
        <v>1.7185821697099894</v>
      </c>
      <c r="AC25" s="179">
        <f t="shared" si="17"/>
        <v>0.82181824055304764</v>
      </c>
      <c r="AD25" s="179"/>
      <c r="AE25" s="179">
        <f t="shared" si="18"/>
        <v>0.5660377358490567</v>
      </c>
      <c r="AF25" s="563">
        <f t="shared" si="63"/>
        <v>785.18518518518511</v>
      </c>
      <c r="AG25" s="546">
        <f t="shared" si="19"/>
        <v>8.9150943396226423E-2</v>
      </c>
      <c r="AI25" s="179">
        <f t="shared" si="20"/>
        <v>0.47364398480147968</v>
      </c>
      <c r="AJ25" s="179">
        <f t="shared" si="21"/>
        <v>0.47364398480147968</v>
      </c>
      <c r="AK25" s="179">
        <f t="shared" si="22"/>
        <v>1.3286251739270218</v>
      </c>
      <c r="AM25" s="563">
        <f t="shared" si="23"/>
        <v>200</v>
      </c>
      <c r="AN25" s="472">
        <f t="shared" si="24"/>
        <v>350</v>
      </c>
      <c r="AP25">
        <f t="shared" si="25"/>
        <v>200</v>
      </c>
      <c r="AQ25" s="472">
        <f t="shared" si="26"/>
        <v>350</v>
      </c>
      <c r="AR25" s="472"/>
      <c r="AS25" s="6">
        <f t="shared" si="51"/>
        <v>2.8571428571428572</v>
      </c>
      <c r="AT25" s="6">
        <f t="shared" si="27"/>
        <v>0.59205498100184972</v>
      </c>
      <c r="AU25" s="6">
        <f t="shared" si="52"/>
        <v>2.2650878761410076</v>
      </c>
      <c r="AV25" s="6">
        <f t="shared" si="28"/>
        <v>0.89366789585184858</v>
      </c>
      <c r="AW25" s="179">
        <f t="shared" si="53"/>
        <v>0.2072192433506474</v>
      </c>
      <c r="AX25" s="179">
        <f t="shared" si="29"/>
        <v>1.1777777777777776</v>
      </c>
      <c r="AY25" s="179">
        <f t="shared" si="30"/>
        <v>0.56324375497999724</v>
      </c>
      <c r="AZ25" s="179">
        <f t="shared" si="54"/>
        <v>2.0910622929491773</v>
      </c>
      <c r="BA25" s="472">
        <f t="shared" si="31"/>
        <v>2.3682199240073989</v>
      </c>
      <c r="BB25" s="6">
        <f t="shared" si="32"/>
        <v>8.7387649542477144E-2</v>
      </c>
      <c r="BC25" s="6"/>
      <c r="BD25" s="179">
        <f t="shared" si="55"/>
        <v>0.12448196655175248</v>
      </c>
      <c r="BE25" s="179">
        <f t="shared" si="33"/>
        <v>0.73044783047562567</v>
      </c>
      <c r="BF25" s="179"/>
      <c r="BG25" s="546">
        <f t="shared" si="34"/>
        <v>5.4235159988070677E-3</v>
      </c>
      <c r="BH25" s="546">
        <f t="shared" si="35"/>
        <v>4.9608286858144973E-2</v>
      </c>
      <c r="BI25" s="546">
        <f t="shared" si="36"/>
        <v>4.3749999999999995E-3</v>
      </c>
      <c r="BJ25" s="546">
        <f t="shared" si="37"/>
        <v>2.7860175000000001E-2</v>
      </c>
      <c r="BK25">
        <f t="shared" si="38"/>
        <v>6.96E-3</v>
      </c>
      <c r="BL25" s="546">
        <f t="shared" si="39"/>
        <v>9.5137940328809248E-2</v>
      </c>
      <c r="BM25" s="472">
        <f t="shared" si="56"/>
        <v>95.13794032880925</v>
      </c>
      <c r="BN25" s="546">
        <f t="shared" si="40"/>
        <v>7.7600000000000016E-2</v>
      </c>
      <c r="BO25" s="546"/>
      <c r="BQ25" s="472">
        <f t="shared" si="57"/>
        <v>77.600000000000023</v>
      </c>
      <c r="BR25" s="546">
        <f t="shared" si="41"/>
        <v>3.0991519993183248E-3</v>
      </c>
      <c r="BS25" s="546">
        <f t="shared" si="42"/>
        <v>2.1342161321861935E-2</v>
      </c>
      <c r="BT25" s="546">
        <f t="shared" si="43"/>
        <v>1.7691725026690936E-2</v>
      </c>
      <c r="BU25" s="546">
        <f t="shared" si="44"/>
        <v>4.5154286351253251E-2</v>
      </c>
      <c r="BV25" s="546">
        <f t="shared" si="45"/>
        <v>7.8518518518518512E-3</v>
      </c>
      <c r="BW25" s="472">
        <f t="shared" si="58"/>
        <v>53.006138203105102</v>
      </c>
      <c r="BX25" s="179">
        <f t="shared" si="59"/>
        <v>0.22574407853191439</v>
      </c>
      <c r="BY25" s="6">
        <f t="shared" si="60"/>
        <v>1</v>
      </c>
      <c r="BZ25" s="179">
        <f t="shared" si="61"/>
        <v>0.81583098585938896</v>
      </c>
      <c r="CA25" s="6">
        <f t="shared" si="62"/>
        <v>81.583098585938899</v>
      </c>
      <c r="CD25" s="581">
        <f t="shared" si="46"/>
        <v>-50</v>
      </c>
      <c r="CE25">
        <f t="shared" si="47"/>
        <v>-50</v>
      </c>
    </row>
    <row r="26" spans="5:83" x14ac:dyDescent="0.2">
      <c r="E26" s="176">
        <v>21</v>
      </c>
      <c r="F26" s="223">
        <f t="shared" si="48"/>
        <v>0.21</v>
      </c>
      <c r="G26" s="223"/>
      <c r="H26" s="223">
        <f t="shared" si="0"/>
        <v>1.05</v>
      </c>
      <c r="I26" s="559">
        <f t="shared" si="1"/>
        <v>24</v>
      </c>
      <c r="J26" s="178">
        <f t="shared" si="2"/>
        <v>15.899999999999999</v>
      </c>
      <c r="K26" s="454">
        <f t="shared" si="3"/>
        <v>39.9</v>
      </c>
      <c r="L26" s="454"/>
      <c r="M26" s="223">
        <f t="shared" si="4"/>
        <v>0.39849624060150374</v>
      </c>
      <c r="N26" s="178">
        <f t="shared" si="5"/>
        <v>6.4556390977443598</v>
      </c>
      <c r="O26" s="178">
        <f t="shared" si="49"/>
        <v>1.05</v>
      </c>
      <c r="P26" s="223">
        <f t="shared" si="6"/>
        <v>1.291127819548872</v>
      </c>
      <c r="Q26" s="223">
        <f t="shared" si="7"/>
        <v>5</v>
      </c>
      <c r="R26" s="223">
        <f t="shared" si="8"/>
        <v>1.4345864661654135</v>
      </c>
      <c r="S26" s="178">
        <f t="shared" si="9"/>
        <v>69.17740074947038</v>
      </c>
      <c r="T26" s="178">
        <f t="shared" si="10"/>
        <v>5</v>
      </c>
      <c r="U26" s="223">
        <f t="shared" si="11"/>
        <v>0.24397274633123689</v>
      </c>
      <c r="V26" s="223">
        <f t="shared" si="12"/>
        <v>0.30496593291404617</v>
      </c>
      <c r="W26" s="223">
        <f t="shared" si="13"/>
        <v>0.46032593647403197</v>
      </c>
      <c r="X26" s="203">
        <f t="shared" si="14"/>
        <v>350</v>
      </c>
      <c r="Y26" s="454">
        <f t="shared" si="50"/>
        <v>350</v>
      </c>
      <c r="AA26" s="223">
        <f t="shared" si="15"/>
        <v>0.91084854994629427</v>
      </c>
      <c r="AB26" s="179">
        <f t="shared" si="16"/>
        <v>1.7185821697099894</v>
      </c>
      <c r="AC26" s="179">
        <f t="shared" si="17"/>
        <v>0.82181824055304764</v>
      </c>
      <c r="AD26" s="179"/>
      <c r="AE26" s="179">
        <f t="shared" si="18"/>
        <v>0.5660377358490567</v>
      </c>
      <c r="AF26" s="563">
        <f t="shared" si="63"/>
        <v>824.44444444444423</v>
      </c>
      <c r="AG26" s="546">
        <f t="shared" si="19"/>
        <v>8.9150943396226423E-2</v>
      </c>
      <c r="AI26" s="179">
        <f t="shared" si="20"/>
        <v>0.48534065928536785</v>
      </c>
      <c r="AJ26" s="179">
        <f t="shared" si="21"/>
        <v>0.48534065928536785</v>
      </c>
      <c r="AK26" s="179">
        <f t="shared" si="22"/>
        <v>1.3372893772484207</v>
      </c>
      <c r="AM26" s="563">
        <f t="shared" si="23"/>
        <v>210</v>
      </c>
      <c r="AN26" s="472">
        <f t="shared" si="24"/>
        <v>350</v>
      </c>
      <c r="AP26">
        <f t="shared" si="25"/>
        <v>210</v>
      </c>
      <c r="AQ26" s="472">
        <f t="shared" si="26"/>
        <v>350</v>
      </c>
      <c r="AR26" s="472"/>
      <c r="AS26" s="6">
        <f t="shared" si="51"/>
        <v>2.8571428571428572</v>
      </c>
      <c r="AT26" s="6">
        <f t="shared" si="27"/>
        <v>0.60667582410670973</v>
      </c>
      <c r="AU26" s="6">
        <f t="shared" si="52"/>
        <v>2.2504670330361476</v>
      </c>
      <c r="AV26" s="6">
        <f t="shared" si="28"/>
        <v>0.91573709299126016</v>
      </c>
      <c r="AW26" s="179">
        <f t="shared" si="53"/>
        <v>0.2123365384373484</v>
      </c>
      <c r="AX26" s="179">
        <f t="shared" si="29"/>
        <v>1.2366666666666666</v>
      </c>
      <c r="AY26" s="179">
        <f t="shared" si="30"/>
        <v>0.57342765559471853</v>
      </c>
      <c r="AZ26" s="179">
        <f t="shared" si="54"/>
        <v>2.1566219462925686</v>
      </c>
      <c r="BA26" s="472">
        <f t="shared" si="31"/>
        <v>2.548038461248181</v>
      </c>
      <c r="BB26" s="6">
        <f t="shared" si="32"/>
        <v>9.1164752495677265E-2</v>
      </c>
      <c r="BC26" s="6"/>
      <c r="BD26" s="179">
        <f t="shared" si="55"/>
        <v>0.1291214561002588</v>
      </c>
      <c r="BE26" s="179">
        <f t="shared" si="33"/>
        <v>0.7460666946309874</v>
      </c>
      <c r="BF26" s="179"/>
      <c r="BG26" s="546">
        <f t="shared" si="34"/>
        <v>5.8353226489078706E-3</v>
      </c>
      <c r="BH26" s="546">
        <f t="shared" si="35"/>
        <v>5.083336730190121E-2</v>
      </c>
      <c r="BI26" s="546">
        <f t="shared" si="36"/>
        <v>4.3749999999999995E-3</v>
      </c>
      <c r="BJ26" s="546">
        <f t="shared" si="37"/>
        <v>2.7860175000000001E-2</v>
      </c>
      <c r="BK26">
        <f t="shared" si="38"/>
        <v>6.96E-3</v>
      </c>
      <c r="BL26" s="546">
        <f t="shared" si="39"/>
        <v>9.6847453179892407E-2</v>
      </c>
      <c r="BM26" s="472">
        <f t="shared" si="56"/>
        <v>96.847453179892412</v>
      </c>
      <c r="BN26" s="546">
        <f t="shared" si="40"/>
        <v>8.1479999999999997E-2</v>
      </c>
      <c r="BO26" s="546"/>
      <c r="BQ26" s="472">
        <f t="shared" si="57"/>
        <v>81.47999999999999</v>
      </c>
      <c r="BR26" s="546">
        <f t="shared" si="41"/>
        <v>3.3344700850902118E-3</v>
      </c>
      <c r="BS26" s="546">
        <f t="shared" si="42"/>
        <v>2.226462051350428E-2</v>
      </c>
      <c r="BT26" s="546">
        <f t="shared" si="43"/>
        <v>1.8804284124856213E-2</v>
      </c>
      <c r="BU26" s="546">
        <f t="shared" si="44"/>
        <v>4.7572691005447441E-2</v>
      </c>
      <c r="BV26" s="546">
        <f t="shared" si="45"/>
        <v>8.2444444444444449E-3</v>
      </c>
      <c r="BW26" s="472">
        <f t="shared" si="58"/>
        <v>55.817135449891886</v>
      </c>
      <c r="BX26" s="179">
        <f t="shared" si="59"/>
        <v>0.23414458862978429</v>
      </c>
      <c r="BY26" s="6">
        <f t="shared" si="60"/>
        <v>1.05</v>
      </c>
      <c r="BZ26" s="179">
        <f t="shared" si="61"/>
        <v>0.81766493375981697</v>
      </c>
      <c r="CA26" s="6">
        <f t="shared" si="62"/>
        <v>81.766493375981696</v>
      </c>
      <c r="CD26" s="581">
        <f t="shared" si="46"/>
        <v>-50</v>
      </c>
      <c r="CE26">
        <f t="shared" si="47"/>
        <v>-50</v>
      </c>
    </row>
    <row r="27" spans="5:83" x14ac:dyDescent="0.2">
      <c r="E27" s="176">
        <v>22</v>
      </c>
      <c r="F27" s="223">
        <f t="shared" si="48"/>
        <v>0.22</v>
      </c>
      <c r="G27" s="223"/>
      <c r="H27" s="223">
        <f t="shared" si="0"/>
        <v>1.1000000000000001</v>
      </c>
      <c r="I27" s="559">
        <f t="shared" si="1"/>
        <v>24</v>
      </c>
      <c r="J27" s="178">
        <f t="shared" si="2"/>
        <v>15.899999999999999</v>
      </c>
      <c r="K27" s="454">
        <f t="shared" si="3"/>
        <v>39.9</v>
      </c>
      <c r="L27" s="454"/>
      <c r="M27" s="223">
        <f t="shared" si="4"/>
        <v>0.39849624060150374</v>
      </c>
      <c r="N27" s="178">
        <f t="shared" si="5"/>
        <v>6.4556390977443598</v>
      </c>
      <c r="O27" s="178">
        <f t="shared" si="49"/>
        <v>1.1000000000000001</v>
      </c>
      <c r="P27" s="223">
        <f t="shared" si="6"/>
        <v>1.291127819548872</v>
      </c>
      <c r="Q27" s="223">
        <f t="shared" si="7"/>
        <v>5</v>
      </c>
      <c r="R27" s="223">
        <f t="shared" si="8"/>
        <v>1.4345864661654135</v>
      </c>
      <c r="S27" s="178">
        <f t="shared" si="9"/>
        <v>65.672742296950418</v>
      </c>
      <c r="T27" s="178">
        <f t="shared" si="10"/>
        <v>5</v>
      </c>
      <c r="U27" s="223">
        <f t="shared" si="11"/>
        <v>0.2555904961565339</v>
      </c>
      <c r="V27" s="223">
        <f t="shared" si="12"/>
        <v>0.31948812019566736</v>
      </c>
      <c r="W27" s="223">
        <f t="shared" si="13"/>
        <v>0.48224621916327159</v>
      </c>
      <c r="X27" s="203">
        <f t="shared" si="14"/>
        <v>350</v>
      </c>
      <c r="Y27" s="454">
        <f t="shared" si="50"/>
        <v>350</v>
      </c>
      <c r="AA27" s="223">
        <f t="shared" si="15"/>
        <v>0.91084854994629427</v>
      </c>
      <c r="AB27" s="179">
        <f t="shared" si="16"/>
        <v>1.7185821697099894</v>
      </c>
      <c r="AC27" s="179">
        <f t="shared" si="17"/>
        <v>0.82181824055304764</v>
      </c>
      <c r="AD27" s="179"/>
      <c r="AE27" s="179">
        <f t="shared" si="18"/>
        <v>0.5660377358490567</v>
      </c>
      <c r="AF27" s="563">
        <f t="shared" si="63"/>
        <v>863.70370370370358</v>
      </c>
      <c r="AG27" s="546">
        <f t="shared" si="19"/>
        <v>8.9150943396226423E-2</v>
      </c>
      <c r="AI27" s="179">
        <f t="shared" si="20"/>
        <v>0.49676200214236066</v>
      </c>
      <c r="AJ27" s="179">
        <f t="shared" si="21"/>
        <v>0.49676200214236066</v>
      </c>
      <c r="AK27" s="179">
        <f t="shared" si="22"/>
        <v>1.3457496312165633</v>
      </c>
      <c r="AM27" s="563">
        <f t="shared" si="23"/>
        <v>220</v>
      </c>
      <c r="AN27" s="472">
        <f t="shared" si="24"/>
        <v>350</v>
      </c>
      <c r="AP27">
        <f t="shared" si="25"/>
        <v>220</v>
      </c>
      <c r="AQ27" s="472">
        <f t="shared" si="26"/>
        <v>350</v>
      </c>
      <c r="AR27" s="472"/>
      <c r="AS27" s="6">
        <f t="shared" si="51"/>
        <v>2.8571428571428572</v>
      </c>
      <c r="AT27" s="6">
        <f t="shared" si="27"/>
        <v>0.62095250267795077</v>
      </c>
      <c r="AU27" s="6">
        <f t="shared" si="52"/>
        <v>2.2361903544649064</v>
      </c>
      <c r="AV27" s="6">
        <f t="shared" si="28"/>
        <v>0.93728679649502022</v>
      </c>
      <c r="AW27" s="179">
        <f t="shared" si="53"/>
        <v>0.21733337593728277</v>
      </c>
      <c r="AX27" s="179">
        <f t="shared" si="29"/>
        <v>1.2955555555555553</v>
      </c>
      <c r="AY27" s="179">
        <f t="shared" si="30"/>
        <v>0.58319855876909665</v>
      </c>
      <c r="AZ27" s="179">
        <f t="shared" si="54"/>
        <v>2.2214656330598017</v>
      </c>
      <c r="BA27" s="472">
        <f t="shared" si="31"/>
        <v>2.7321910117829837</v>
      </c>
      <c r="BB27" s="6">
        <f t="shared" si="32"/>
        <v>9.4900053623124883E-2</v>
      </c>
      <c r="BC27" s="6"/>
      <c r="BD27" s="179">
        <f t="shared" si="55"/>
        <v>0.13370601786344918</v>
      </c>
      <c r="BE27" s="179">
        <f t="shared" si="33"/>
        <v>0.76119758762186795</v>
      </c>
      <c r="BF27" s="179"/>
      <c r="BG27" s="546">
        <f t="shared" si="34"/>
        <v>6.2570547245153468E-3</v>
      </c>
      <c r="BH27" s="546">
        <f t="shared" si="35"/>
        <v>5.2029610199385491E-2</v>
      </c>
      <c r="BI27" s="546">
        <f t="shared" si="36"/>
        <v>4.3749999999999995E-3</v>
      </c>
      <c r="BJ27" s="546">
        <f t="shared" si="37"/>
        <v>2.7860175000000001E-2</v>
      </c>
      <c r="BK27">
        <f t="shared" si="38"/>
        <v>6.96E-3</v>
      </c>
      <c r="BL27" s="546">
        <f t="shared" si="39"/>
        <v>9.8540184276023499E-2</v>
      </c>
      <c r="BM27" s="472">
        <f t="shared" si="56"/>
        <v>98.540184276023496</v>
      </c>
      <c r="BN27" s="546">
        <f t="shared" si="40"/>
        <v>8.5360000000000005E-2</v>
      </c>
      <c r="BO27" s="546"/>
      <c r="BQ27" s="472">
        <f t="shared" si="57"/>
        <v>85.36</v>
      </c>
      <c r="BR27" s="546">
        <f t="shared" si="41"/>
        <v>3.5754598425801983E-3</v>
      </c>
      <c r="BS27" s="546">
        <f t="shared" si="42"/>
        <v>2.3176870696054053E-2</v>
      </c>
      <c r="BT27" s="546">
        <f t="shared" si="43"/>
        <v>1.9930171561687263E-2</v>
      </c>
      <c r="BU27" s="546">
        <f t="shared" si="44"/>
        <v>4.9999790639040684E-2</v>
      </c>
      <c r="BV27" s="546">
        <f t="shared" si="45"/>
        <v>8.6370370370370351E-3</v>
      </c>
      <c r="BW27" s="472">
        <f t="shared" si="58"/>
        <v>58.636827676077715</v>
      </c>
      <c r="BX27" s="179">
        <f t="shared" si="59"/>
        <v>0.24253701195210123</v>
      </c>
      <c r="BY27" s="6">
        <f t="shared" si="60"/>
        <v>1.1000000000000001</v>
      </c>
      <c r="BZ27" s="179">
        <f t="shared" si="61"/>
        <v>0.81934426403675609</v>
      </c>
      <c r="CA27" s="6">
        <f t="shared" si="62"/>
        <v>81.934426403675616</v>
      </c>
      <c r="CD27" s="581">
        <f t="shared" si="46"/>
        <v>-50</v>
      </c>
      <c r="CE27">
        <f t="shared" si="47"/>
        <v>-50</v>
      </c>
    </row>
    <row r="28" spans="5:83" x14ac:dyDescent="0.2">
      <c r="E28" s="176">
        <v>23</v>
      </c>
      <c r="F28" s="223">
        <f t="shared" si="48"/>
        <v>0.23</v>
      </c>
      <c r="G28" s="223"/>
      <c r="H28" s="223">
        <f t="shared" si="0"/>
        <v>1.1500000000000001</v>
      </c>
      <c r="I28" s="559">
        <f t="shared" si="1"/>
        <v>24</v>
      </c>
      <c r="J28" s="178">
        <f t="shared" si="2"/>
        <v>15.899999999999999</v>
      </c>
      <c r="K28" s="454">
        <f t="shared" si="3"/>
        <v>39.9</v>
      </c>
      <c r="L28" s="454"/>
      <c r="M28" s="223">
        <f t="shared" si="4"/>
        <v>0.39849624060150374</v>
      </c>
      <c r="N28" s="178">
        <f t="shared" si="5"/>
        <v>6.4556390977443598</v>
      </c>
      <c r="O28" s="178">
        <f t="shared" si="49"/>
        <v>1.1500000000000001</v>
      </c>
      <c r="P28" s="223">
        <f t="shared" si="6"/>
        <v>1.291127819548872</v>
      </c>
      <c r="Q28" s="223">
        <f t="shared" si="7"/>
        <v>5</v>
      </c>
      <c r="R28" s="223">
        <f t="shared" si="8"/>
        <v>1.4345864661654135</v>
      </c>
      <c r="S28" s="178">
        <f t="shared" si="9"/>
        <v>62.473015597459337</v>
      </c>
      <c r="T28" s="178">
        <f t="shared" si="10"/>
        <v>5</v>
      </c>
      <c r="U28" s="223">
        <f t="shared" si="11"/>
        <v>0.26720824598183091</v>
      </c>
      <c r="V28" s="223">
        <f t="shared" si="12"/>
        <v>0.3340103074772886</v>
      </c>
      <c r="W28" s="223">
        <f t="shared" si="13"/>
        <v>0.50416650185251122</v>
      </c>
      <c r="X28" s="203">
        <f t="shared" si="14"/>
        <v>350</v>
      </c>
      <c r="Y28" s="454">
        <f t="shared" si="50"/>
        <v>350</v>
      </c>
      <c r="AA28" s="223">
        <f t="shared" si="15"/>
        <v>0.91084854994629427</v>
      </c>
      <c r="AB28" s="179">
        <f t="shared" si="16"/>
        <v>1.7185821697099894</v>
      </c>
      <c r="AC28" s="179">
        <f t="shared" si="17"/>
        <v>0.82181824055304764</v>
      </c>
      <c r="AD28" s="179"/>
      <c r="AE28" s="179">
        <f t="shared" si="18"/>
        <v>0.5660377358490567</v>
      </c>
      <c r="AF28" s="563">
        <f t="shared" si="63"/>
        <v>902.96296296296282</v>
      </c>
      <c r="AG28" s="546">
        <f t="shared" si="19"/>
        <v>8.9150943396226423E-2</v>
      </c>
      <c r="AI28" s="179">
        <f t="shared" si="20"/>
        <v>0.50792658720470418</v>
      </c>
      <c r="AJ28" s="179">
        <f t="shared" si="21"/>
        <v>0.50792658720470418</v>
      </c>
      <c r="AK28" s="179">
        <f t="shared" si="22"/>
        <v>1.3540196942257068</v>
      </c>
      <c r="AM28" s="563">
        <f t="shared" si="23"/>
        <v>230</v>
      </c>
      <c r="AN28" s="472">
        <f t="shared" si="24"/>
        <v>350</v>
      </c>
      <c r="AP28">
        <f t="shared" si="25"/>
        <v>230</v>
      </c>
      <c r="AQ28" s="472">
        <f t="shared" si="26"/>
        <v>350</v>
      </c>
      <c r="AR28" s="472"/>
      <c r="AS28" s="6">
        <f t="shared" si="51"/>
        <v>2.8571428571428572</v>
      </c>
      <c r="AT28" s="6">
        <f t="shared" si="27"/>
        <v>0.63490823400588026</v>
      </c>
      <c r="AU28" s="6">
        <f t="shared" si="52"/>
        <v>2.2222346231369769</v>
      </c>
      <c r="AV28" s="6">
        <f t="shared" si="28"/>
        <v>0.95835205132963075</v>
      </c>
      <c r="AW28" s="179">
        <f t="shared" si="53"/>
        <v>0.22221788190205807</v>
      </c>
      <c r="AX28" s="179">
        <f t="shared" si="29"/>
        <v>1.3544444444444446</v>
      </c>
      <c r="AY28" s="179">
        <f t="shared" si="30"/>
        <v>0.59258432525150073</v>
      </c>
      <c r="AZ28" s="179">
        <f t="shared" si="54"/>
        <v>2.28565688751487</v>
      </c>
      <c r="BA28" s="472">
        <f t="shared" si="31"/>
        <v>2.9205778764270498</v>
      </c>
      <c r="BB28" s="6">
        <f t="shared" si="32"/>
        <v>9.8594514529611252E-2</v>
      </c>
      <c r="BC28" s="6"/>
      <c r="BD28" s="179">
        <f t="shared" si="55"/>
        <v>0.13823875725081972</v>
      </c>
      <c r="BE28" s="179">
        <f t="shared" si="33"/>
        <v>0.77587284261790879</v>
      </c>
      <c r="BF28" s="179"/>
      <c r="BG28" s="546">
        <f t="shared" si="34"/>
        <v>6.6884839021878707E-3</v>
      </c>
      <c r="BH28" s="546">
        <f t="shared" si="35"/>
        <v>5.3198960927352705E-2</v>
      </c>
      <c r="BI28" s="546">
        <f t="shared" si="36"/>
        <v>4.3749999999999995E-3</v>
      </c>
      <c r="BJ28" s="546">
        <f t="shared" si="37"/>
        <v>2.7860175000000001E-2</v>
      </c>
      <c r="BK28">
        <f t="shared" si="38"/>
        <v>6.96E-3</v>
      </c>
      <c r="BL28" s="546">
        <f t="shared" si="39"/>
        <v>0.10021782594817978</v>
      </c>
      <c r="BM28" s="472">
        <f t="shared" si="56"/>
        <v>100.21782594817978</v>
      </c>
      <c r="BN28" s="546">
        <f t="shared" si="40"/>
        <v>8.9240000000000014E-2</v>
      </c>
      <c r="BO28" s="546"/>
      <c r="BQ28" s="472">
        <f t="shared" si="57"/>
        <v>89.240000000000009</v>
      </c>
      <c r="BR28" s="546">
        <f t="shared" si="41"/>
        <v>3.8219908012502124E-3</v>
      </c>
      <c r="BS28" s="546">
        <f t="shared" si="42"/>
        <v>2.4079146716479771E-2</v>
      </c>
      <c r="BT28" s="546">
        <f t="shared" si="43"/>
        <v>2.1068930046175747E-2</v>
      </c>
      <c r="BU28" s="546">
        <f t="shared" si="44"/>
        <v>5.2435244302999236E-2</v>
      </c>
      <c r="BV28" s="546">
        <f t="shared" si="45"/>
        <v>9.0296296296296305E-3</v>
      </c>
      <c r="BW28" s="472">
        <f t="shared" si="58"/>
        <v>61.464873932628869</v>
      </c>
      <c r="BX28" s="179">
        <f t="shared" si="59"/>
        <v>0.25092269988080862</v>
      </c>
      <c r="BY28" s="6">
        <f t="shared" si="60"/>
        <v>1.1500000000000001</v>
      </c>
      <c r="BZ28" s="179">
        <f t="shared" si="61"/>
        <v>0.82088754796952224</v>
      </c>
      <c r="CA28" s="6">
        <f t="shared" si="62"/>
        <v>82.08875479695223</v>
      </c>
      <c r="CD28" s="581">
        <f t="shared" si="46"/>
        <v>-50</v>
      </c>
      <c r="CE28">
        <f t="shared" si="47"/>
        <v>-50</v>
      </c>
    </row>
    <row r="29" spans="5:83" x14ac:dyDescent="0.2">
      <c r="E29" s="176">
        <v>24</v>
      </c>
      <c r="F29" s="223">
        <f t="shared" si="48"/>
        <v>0.24</v>
      </c>
      <c r="G29" s="223"/>
      <c r="H29" s="223">
        <f t="shared" si="0"/>
        <v>1.2</v>
      </c>
      <c r="I29" s="559">
        <f t="shared" si="1"/>
        <v>24</v>
      </c>
      <c r="J29" s="178">
        <f t="shared" si="2"/>
        <v>15.899999999999999</v>
      </c>
      <c r="K29" s="454">
        <f t="shared" si="3"/>
        <v>39.9</v>
      </c>
      <c r="L29" s="454"/>
      <c r="M29" s="223">
        <f t="shared" si="4"/>
        <v>0.39849624060150374</v>
      </c>
      <c r="N29" s="178">
        <f t="shared" si="5"/>
        <v>6.4556390977443598</v>
      </c>
      <c r="O29" s="178">
        <f t="shared" si="49"/>
        <v>1.2</v>
      </c>
      <c r="P29" s="223">
        <f t="shared" si="6"/>
        <v>1.291127819548872</v>
      </c>
      <c r="Q29" s="223">
        <f t="shared" si="7"/>
        <v>5</v>
      </c>
      <c r="R29" s="223">
        <f t="shared" si="8"/>
        <v>1.4345864661654135</v>
      </c>
      <c r="S29" s="178">
        <f t="shared" si="9"/>
        <v>59.540106880236756</v>
      </c>
      <c r="T29" s="178">
        <f t="shared" si="10"/>
        <v>5</v>
      </c>
      <c r="U29" s="223">
        <f t="shared" si="11"/>
        <v>0.27882599580712786</v>
      </c>
      <c r="V29" s="223">
        <f t="shared" si="12"/>
        <v>0.34853249475890979</v>
      </c>
      <c r="W29" s="223">
        <f t="shared" si="13"/>
        <v>0.52608678454175073</v>
      </c>
      <c r="X29" s="203">
        <f t="shared" si="14"/>
        <v>350</v>
      </c>
      <c r="Y29" s="454">
        <f t="shared" si="50"/>
        <v>350</v>
      </c>
      <c r="AA29" s="223">
        <f t="shared" si="15"/>
        <v>0.91084854994629427</v>
      </c>
      <c r="AB29" s="179">
        <f t="shared" si="16"/>
        <v>1.7185821697099894</v>
      </c>
      <c r="AC29" s="179">
        <f t="shared" si="17"/>
        <v>0.82181824055304764</v>
      </c>
      <c r="AD29" s="179"/>
      <c r="AE29" s="179">
        <f t="shared" si="18"/>
        <v>0.5660377358490567</v>
      </c>
      <c r="AF29" s="563">
        <f t="shared" si="63"/>
        <v>942.22222222222206</v>
      </c>
      <c r="AG29" s="546">
        <f t="shared" si="19"/>
        <v>8.9150943396226423E-2</v>
      </c>
      <c r="AI29" s="179">
        <f t="shared" si="20"/>
        <v>0.518850989404809</v>
      </c>
      <c r="AJ29" s="179">
        <f t="shared" si="21"/>
        <v>0.518850989404809</v>
      </c>
      <c r="AK29" s="179">
        <f t="shared" si="22"/>
        <v>1.3621118440035622</v>
      </c>
      <c r="AM29" s="563">
        <f t="shared" si="23"/>
        <v>240</v>
      </c>
      <c r="AN29" s="472">
        <f t="shared" si="24"/>
        <v>350</v>
      </c>
      <c r="AP29">
        <f t="shared" si="25"/>
        <v>240</v>
      </c>
      <c r="AQ29" s="472">
        <f t="shared" si="26"/>
        <v>350</v>
      </c>
      <c r="AR29" s="472"/>
      <c r="AS29" s="6">
        <f t="shared" si="51"/>
        <v>2.8571428571428572</v>
      </c>
      <c r="AT29" s="6">
        <f t="shared" si="27"/>
        <v>0.64856373675601131</v>
      </c>
      <c r="AU29" s="6">
        <f t="shared" si="52"/>
        <v>2.2085791203868457</v>
      </c>
      <c r="AV29" s="6">
        <f t="shared" si="28"/>
        <v>0.97896413095246992</v>
      </c>
      <c r="AW29" s="179">
        <f t="shared" si="53"/>
        <v>0.22699730786460395</v>
      </c>
      <c r="AX29" s="179">
        <f t="shared" si="29"/>
        <v>1.4133333333333338</v>
      </c>
      <c r="AY29" s="179">
        <f t="shared" si="30"/>
        <v>0.60160981744054687</v>
      </c>
      <c r="AZ29" s="179">
        <f t="shared" si="54"/>
        <v>2.3492524429640049</v>
      </c>
      <c r="BA29" s="472">
        <f t="shared" si="31"/>
        <v>3.1131059364288545</v>
      </c>
      <c r="BB29" s="6">
        <f t="shared" si="32"/>
        <v>0.10224903335124284</v>
      </c>
      <c r="BC29" s="6"/>
      <c r="BD29" s="179">
        <f t="shared" si="55"/>
        <v>0.1427224772415564</v>
      </c>
      <c r="BE29" s="179">
        <f t="shared" si="33"/>
        <v>0.79012131855136569</v>
      </c>
      <c r="BF29" s="179"/>
      <c r="BG29" s="546">
        <f t="shared" si="34"/>
        <v>7.1293969284883041E-3</v>
      </c>
      <c r="BH29" s="546">
        <f t="shared" si="35"/>
        <v>5.4343155502786171E-2</v>
      </c>
      <c r="BI29" s="546">
        <f t="shared" si="36"/>
        <v>4.3749999999999995E-3</v>
      </c>
      <c r="BJ29" s="546">
        <f t="shared" si="37"/>
        <v>2.7860175000000001E-2</v>
      </c>
      <c r="BK29">
        <f t="shared" si="38"/>
        <v>6.96E-3</v>
      </c>
      <c r="BL29" s="546">
        <f t="shared" si="39"/>
        <v>0.10188187849244726</v>
      </c>
      <c r="BM29" s="472">
        <f t="shared" si="56"/>
        <v>101.88187849244726</v>
      </c>
      <c r="BN29" s="546">
        <f t="shared" si="40"/>
        <v>9.3119999999999994E-2</v>
      </c>
      <c r="BO29" s="546"/>
      <c r="BQ29" s="472">
        <f t="shared" si="57"/>
        <v>93.11999999999999</v>
      </c>
      <c r="BR29" s="546">
        <f t="shared" si="41"/>
        <v>4.0739411019933168E-3</v>
      </c>
      <c r="BS29" s="546">
        <f t="shared" si="42"/>
        <v>2.4971667921173949E-2</v>
      </c>
      <c r="BT29" s="546">
        <f t="shared" si="43"/>
        <v>2.2220137307276965E-2</v>
      </c>
      <c r="BU29" s="546">
        <f t="shared" si="44"/>
        <v>5.487873832338637E-2</v>
      </c>
      <c r="BV29" s="546">
        <f t="shared" si="45"/>
        <v>9.4222222222222242E-3</v>
      </c>
      <c r="BW29" s="472">
        <f t="shared" si="58"/>
        <v>64.300960545608589</v>
      </c>
      <c r="BX29" s="179">
        <f t="shared" si="59"/>
        <v>0.25930283903805584</v>
      </c>
      <c r="BY29" s="6">
        <f t="shared" si="60"/>
        <v>1.2</v>
      </c>
      <c r="BZ29" s="179">
        <f t="shared" si="61"/>
        <v>0.82231046764153271</v>
      </c>
      <c r="CA29" s="6">
        <f t="shared" si="62"/>
        <v>82.231046764153277</v>
      </c>
      <c r="CD29" s="581">
        <f t="shared" si="46"/>
        <v>-50</v>
      </c>
      <c r="CE29">
        <f t="shared" si="47"/>
        <v>-50</v>
      </c>
    </row>
    <row r="30" spans="5:83" x14ac:dyDescent="0.2">
      <c r="E30" s="176">
        <v>25</v>
      </c>
      <c r="F30" s="223">
        <f t="shared" si="48"/>
        <v>0.25</v>
      </c>
      <c r="G30" s="223"/>
      <c r="H30" s="223">
        <f t="shared" si="0"/>
        <v>1.25</v>
      </c>
      <c r="I30" s="559">
        <f t="shared" si="1"/>
        <v>24</v>
      </c>
      <c r="J30" s="178">
        <f t="shared" si="2"/>
        <v>15.899999999999999</v>
      </c>
      <c r="K30" s="454">
        <f t="shared" si="3"/>
        <v>39.9</v>
      </c>
      <c r="L30" s="454"/>
      <c r="M30" s="223">
        <f t="shared" si="4"/>
        <v>0.39849624060150374</v>
      </c>
      <c r="N30" s="178">
        <f t="shared" si="5"/>
        <v>6.4556390977443598</v>
      </c>
      <c r="O30" s="178">
        <f t="shared" si="49"/>
        <v>1.25</v>
      </c>
      <c r="P30" s="223">
        <f t="shared" si="6"/>
        <v>1.291127819548872</v>
      </c>
      <c r="Q30" s="223">
        <f t="shared" si="7"/>
        <v>5</v>
      </c>
      <c r="R30" s="223">
        <f t="shared" si="8"/>
        <v>1.4345864661654135</v>
      </c>
      <c r="S30" s="178">
        <f t="shared" si="9"/>
        <v>56.842000629546725</v>
      </c>
      <c r="T30" s="178">
        <f t="shared" si="10"/>
        <v>5</v>
      </c>
      <c r="U30" s="223">
        <f t="shared" si="11"/>
        <v>0.29044374563242487</v>
      </c>
      <c r="V30" s="223">
        <f t="shared" si="12"/>
        <v>0.36305468204053104</v>
      </c>
      <c r="W30" s="223">
        <f t="shared" si="13"/>
        <v>0.54800706723099035</v>
      </c>
      <c r="X30" s="203">
        <f t="shared" si="14"/>
        <v>350</v>
      </c>
      <c r="Y30" s="454">
        <f t="shared" si="50"/>
        <v>350</v>
      </c>
      <c r="AA30" s="223">
        <f t="shared" si="15"/>
        <v>0.91084854994629427</v>
      </c>
      <c r="AB30" s="179">
        <f t="shared" si="16"/>
        <v>1.7185821697099894</v>
      </c>
      <c r="AC30" s="179">
        <f t="shared" si="17"/>
        <v>0.82181824055304764</v>
      </c>
      <c r="AD30" s="179"/>
      <c r="AE30" s="179">
        <f t="shared" si="18"/>
        <v>0.5660377358490567</v>
      </c>
      <c r="AF30" s="563">
        <f t="shared" si="63"/>
        <v>981.4814814814813</v>
      </c>
      <c r="AG30" s="546">
        <f t="shared" si="19"/>
        <v>8.9150943396226423E-2</v>
      </c>
      <c r="AI30" s="179">
        <f t="shared" si="20"/>
        <v>0.52955007357499295</v>
      </c>
      <c r="AJ30" s="179">
        <f t="shared" si="21"/>
        <v>0.52955007357499295</v>
      </c>
      <c r="AK30" s="179">
        <f t="shared" si="22"/>
        <v>1.3700370915370317</v>
      </c>
      <c r="AM30" s="563">
        <f t="shared" si="23"/>
        <v>250</v>
      </c>
      <c r="AN30" s="472">
        <f t="shared" si="24"/>
        <v>350</v>
      </c>
      <c r="AP30">
        <f t="shared" si="25"/>
        <v>250</v>
      </c>
      <c r="AQ30" s="472">
        <f t="shared" si="26"/>
        <v>350</v>
      </c>
      <c r="AR30" s="472"/>
      <c r="AS30" s="6">
        <f t="shared" si="51"/>
        <v>2.8571428571428572</v>
      </c>
      <c r="AT30" s="6">
        <f t="shared" si="27"/>
        <v>0.66193759196874113</v>
      </c>
      <c r="AU30" s="6">
        <f t="shared" si="52"/>
        <v>2.1952052651741161</v>
      </c>
      <c r="AV30" s="6">
        <f t="shared" si="28"/>
        <v>0.99915108221696802</v>
      </c>
      <c r="AW30" s="179">
        <f t="shared" si="53"/>
        <v>0.2316781571890594</v>
      </c>
      <c r="AX30" s="179">
        <f t="shared" si="29"/>
        <v>1.4722222222222223</v>
      </c>
      <c r="AY30" s="179">
        <f t="shared" si="30"/>
        <v>0.61029733258471164</v>
      </c>
      <c r="AZ30" s="179">
        <f t="shared" si="54"/>
        <v>2.4123032227375369</v>
      </c>
      <c r="BA30" s="472">
        <f t="shared" si="31"/>
        <v>3.3096879598437057</v>
      </c>
      <c r="BB30" s="6">
        <f t="shared" si="32"/>
        <v>0.10586445144551099</v>
      </c>
      <c r="BC30" s="6"/>
      <c r="BD30" s="179">
        <f t="shared" si="55"/>
        <v>0.14715971917316739</v>
      </c>
      <c r="BE30" s="179">
        <f t="shared" si="33"/>
        <v>0.80396890160360801</v>
      </c>
      <c r="BF30" s="179"/>
      <c r="BG30" s="546">
        <f t="shared" si="34"/>
        <v>7.5795940314939206E-3</v>
      </c>
      <c r="BH30" s="546">
        <f t="shared" si="35"/>
        <v>5.5463750831060823E-2</v>
      </c>
      <c r="BI30" s="546">
        <f t="shared" si="36"/>
        <v>4.3749999999999995E-3</v>
      </c>
      <c r="BJ30" s="546">
        <f t="shared" si="37"/>
        <v>2.7860175000000001E-2</v>
      </c>
      <c r="BK30">
        <f t="shared" si="38"/>
        <v>6.96E-3</v>
      </c>
      <c r="BL30" s="546">
        <f t="shared" si="39"/>
        <v>0.10353367859373797</v>
      </c>
      <c r="BM30" s="472">
        <f t="shared" si="56"/>
        <v>103.53367859373796</v>
      </c>
      <c r="BN30" s="546">
        <f t="shared" si="40"/>
        <v>9.7000000000000003E-2</v>
      </c>
      <c r="BO30" s="546"/>
      <c r="BQ30" s="472">
        <f t="shared" si="57"/>
        <v>97</v>
      </c>
      <c r="BR30" s="546">
        <f t="shared" si="41"/>
        <v>4.331196589425098E-3</v>
      </c>
      <c r="BS30" s="546">
        <f t="shared" si="42"/>
        <v>2.5854639789828479E-2</v>
      </c>
      <c r="BT30" s="546">
        <f t="shared" si="43"/>
        <v>2.3383402054894063E-2</v>
      </c>
      <c r="BU30" s="546">
        <f t="shared" si="44"/>
        <v>5.7329983078765356E-2</v>
      </c>
      <c r="BV30" s="546">
        <f t="shared" si="45"/>
        <v>9.8148148148148179E-3</v>
      </c>
      <c r="BW30" s="472">
        <f t="shared" si="58"/>
        <v>67.144797893580176</v>
      </c>
      <c r="BX30" s="179">
        <f t="shared" si="59"/>
        <v>0.26767847648731813</v>
      </c>
      <c r="BY30" s="6">
        <f t="shared" si="60"/>
        <v>1.25</v>
      </c>
      <c r="BZ30" s="179">
        <f t="shared" si="61"/>
        <v>0.82362636050103144</v>
      </c>
      <c r="CA30" s="6">
        <f t="shared" si="62"/>
        <v>82.362636050103148</v>
      </c>
      <c r="CD30" s="581">
        <f t="shared" si="46"/>
        <v>-50</v>
      </c>
      <c r="CE30">
        <f t="shared" si="47"/>
        <v>-50</v>
      </c>
    </row>
    <row r="31" spans="5:83" x14ac:dyDescent="0.2">
      <c r="E31" s="176">
        <v>26</v>
      </c>
      <c r="F31" s="223">
        <f t="shared" si="48"/>
        <v>0.26</v>
      </c>
      <c r="G31" s="223"/>
      <c r="H31" s="223">
        <f t="shared" si="0"/>
        <v>1.3</v>
      </c>
      <c r="I31" s="559">
        <f t="shared" si="1"/>
        <v>24</v>
      </c>
      <c r="J31" s="178">
        <f t="shared" si="2"/>
        <v>15.899999999999999</v>
      </c>
      <c r="K31" s="454">
        <f t="shared" si="3"/>
        <v>39.9</v>
      </c>
      <c r="L31" s="454"/>
      <c r="M31" s="223">
        <f t="shared" si="4"/>
        <v>0.39849624060150374</v>
      </c>
      <c r="N31" s="178">
        <f t="shared" si="5"/>
        <v>6.4556390977443598</v>
      </c>
      <c r="O31" s="178">
        <f t="shared" si="49"/>
        <v>1.3</v>
      </c>
      <c r="P31" s="223">
        <f t="shared" si="6"/>
        <v>1.291127819548872</v>
      </c>
      <c r="Q31" s="223">
        <f t="shared" si="7"/>
        <v>5</v>
      </c>
      <c r="R31" s="223">
        <f t="shared" si="8"/>
        <v>1.4345864661654135</v>
      </c>
      <c r="S31" s="178">
        <f t="shared" si="9"/>
        <v>54.351606844493183</v>
      </c>
      <c r="T31" s="178">
        <f t="shared" si="10"/>
        <v>5</v>
      </c>
      <c r="U31" s="223">
        <f t="shared" si="11"/>
        <v>0.30206149545772187</v>
      </c>
      <c r="V31" s="223">
        <f t="shared" si="12"/>
        <v>0.37757686932215234</v>
      </c>
      <c r="W31" s="223">
        <f t="shared" si="13"/>
        <v>0.56992734992023009</v>
      </c>
      <c r="X31" s="203">
        <f t="shared" si="14"/>
        <v>350</v>
      </c>
      <c r="Y31" s="454">
        <f t="shared" si="50"/>
        <v>350</v>
      </c>
      <c r="AA31" s="223">
        <f t="shared" si="15"/>
        <v>0.91084854994629427</v>
      </c>
      <c r="AB31" s="179">
        <f t="shared" si="16"/>
        <v>1.7185821697099894</v>
      </c>
      <c r="AC31" s="179">
        <f t="shared" si="17"/>
        <v>0.82181824055304764</v>
      </c>
      <c r="AD31" s="179"/>
      <c r="AE31" s="179">
        <f t="shared" si="18"/>
        <v>0.5660377358490567</v>
      </c>
      <c r="AF31" s="563">
        <f t="shared" si="63"/>
        <v>1020.7407407407405</v>
      </c>
      <c r="AG31" s="546">
        <f t="shared" si="19"/>
        <v>8.9150943396226423E-2</v>
      </c>
      <c r="AI31" s="179">
        <f t="shared" si="20"/>
        <v>0.54003723171667672</v>
      </c>
      <c r="AJ31" s="179">
        <f t="shared" si="21"/>
        <v>0.54003723171667672</v>
      </c>
      <c r="AK31" s="179">
        <f t="shared" si="22"/>
        <v>1.377805356827168</v>
      </c>
      <c r="AM31" s="563">
        <f t="shared" si="23"/>
        <v>260</v>
      </c>
      <c r="AN31" s="472">
        <f t="shared" si="24"/>
        <v>350</v>
      </c>
      <c r="AP31">
        <f t="shared" si="25"/>
        <v>260</v>
      </c>
      <c r="AQ31" s="472">
        <f t="shared" si="26"/>
        <v>350</v>
      </c>
      <c r="AR31" s="472"/>
      <c r="AS31" s="6">
        <f t="shared" si="51"/>
        <v>2.8571428571428572</v>
      </c>
      <c r="AT31" s="6">
        <f t="shared" si="27"/>
        <v>0.67504653964584593</v>
      </c>
      <c r="AU31" s="6">
        <f t="shared" si="52"/>
        <v>2.1820963174970114</v>
      </c>
      <c r="AV31" s="6">
        <f t="shared" si="28"/>
        <v>1.0189381730503337</v>
      </c>
      <c r="AW31" s="179">
        <f t="shared" si="53"/>
        <v>0.23626628887604606</v>
      </c>
      <c r="AX31" s="179">
        <f t="shared" si="29"/>
        <v>1.5311111111111109</v>
      </c>
      <c r="AY31" s="179">
        <f t="shared" si="30"/>
        <v>0.6186669586861262</v>
      </c>
      <c r="AZ31" s="179">
        <f t="shared" si="54"/>
        <v>2.4748551536722734</v>
      </c>
      <c r="BA31" s="472">
        <f t="shared" si="31"/>
        <v>3.5102420061583985</v>
      </c>
      <c r="BB31" s="6">
        <f t="shared" si="32"/>
        <v>0.10944155913372354</v>
      </c>
      <c r="BC31" s="6"/>
      <c r="BD31" s="179">
        <f t="shared" si="55"/>
        <v>0.15155279662135068</v>
      </c>
      <c r="BE31" s="179">
        <f t="shared" si="33"/>
        <v>0.81743891725734619</v>
      </c>
      <c r="BF31" s="179"/>
      <c r="BG31" s="546">
        <f t="shared" si="34"/>
        <v>8.0388875573133688E-3</v>
      </c>
      <c r="BH31" s="546">
        <f t="shared" si="35"/>
        <v>5.6562149556925428E-2</v>
      </c>
      <c r="BI31" s="546">
        <f t="shared" si="36"/>
        <v>4.3749999999999995E-3</v>
      </c>
      <c r="BJ31" s="546">
        <f t="shared" si="37"/>
        <v>2.7860175000000001E-2</v>
      </c>
      <c r="BK31">
        <f t="shared" si="38"/>
        <v>6.96E-3</v>
      </c>
      <c r="BL31" s="546">
        <f t="shared" si="39"/>
        <v>0.10517442261077133</v>
      </c>
      <c r="BM31" s="472">
        <f t="shared" si="56"/>
        <v>105.17442261077133</v>
      </c>
      <c r="BN31" s="546">
        <f t="shared" si="40"/>
        <v>0.10088000000000001</v>
      </c>
      <c r="BO31" s="546"/>
      <c r="BQ31" s="472">
        <f t="shared" si="57"/>
        <v>100.88000000000001</v>
      </c>
      <c r="BR31" s="546">
        <f t="shared" si="41"/>
        <v>4.5936500327504971E-3</v>
      </c>
      <c r="BS31" s="546">
        <f t="shared" si="42"/>
        <v>2.6728255337874499E-2</v>
      </c>
      <c r="BT31" s="546">
        <f t="shared" si="43"/>
        <v>2.455836055071247E-2</v>
      </c>
      <c r="BU31" s="546">
        <f t="shared" si="44"/>
        <v>5.9788710271841773E-2</v>
      </c>
      <c r="BV31" s="546">
        <f t="shared" si="45"/>
        <v>1.0207407407407406E-2</v>
      </c>
      <c r="BW31" s="472">
        <f t="shared" si="58"/>
        <v>69.996117679249181</v>
      </c>
      <c r="BX31" s="179">
        <f t="shared" si="59"/>
        <v>0.27605054029002052</v>
      </c>
      <c r="BY31" s="6">
        <f t="shared" si="60"/>
        <v>1.3</v>
      </c>
      <c r="BZ31" s="179">
        <f t="shared" si="61"/>
        <v>0.82484664467725599</v>
      </c>
      <c r="CA31" s="6">
        <f t="shared" si="62"/>
        <v>82.484664467725594</v>
      </c>
      <c r="CD31" s="581">
        <f t="shared" si="46"/>
        <v>-50</v>
      </c>
      <c r="CE31">
        <f t="shared" si="47"/>
        <v>-50</v>
      </c>
    </row>
    <row r="32" spans="5:83" x14ac:dyDescent="0.2">
      <c r="E32" s="176">
        <v>27</v>
      </c>
      <c r="F32" s="223">
        <f t="shared" si="48"/>
        <v>0.27</v>
      </c>
      <c r="G32" s="223"/>
      <c r="H32" s="223">
        <f t="shared" si="0"/>
        <v>1.35</v>
      </c>
      <c r="I32" s="559">
        <f t="shared" si="1"/>
        <v>24</v>
      </c>
      <c r="J32" s="178">
        <f t="shared" si="2"/>
        <v>15.899999999999999</v>
      </c>
      <c r="K32" s="454">
        <f t="shared" si="3"/>
        <v>39.9</v>
      </c>
      <c r="L32" s="454"/>
      <c r="M32" s="223">
        <f t="shared" si="4"/>
        <v>0.39849624060150374</v>
      </c>
      <c r="N32" s="178">
        <f t="shared" si="5"/>
        <v>6.4556390977443598</v>
      </c>
      <c r="O32" s="178">
        <f t="shared" si="49"/>
        <v>1.35</v>
      </c>
      <c r="P32" s="223">
        <f t="shared" si="6"/>
        <v>1.291127819548872</v>
      </c>
      <c r="Q32" s="223">
        <f t="shared" si="7"/>
        <v>5</v>
      </c>
      <c r="R32" s="223">
        <f t="shared" si="8"/>
        <v>1.4345864661654135</v>
      </c>
      <c r="S32" s="178">
        <f t="shared" si="9"/>
        <v>52.045848907794536</v>
      </c>
      <c r="T32" s="178">
        <f t="shared" si="10"/>
        <v>5</v>
      </c>
      <c r="U32" s="223">
        <f t="shared" si="11"/>
        <v>0.31367924528301888</v>
      </c>
      <c r="V32" s="223">
        <f t="shared" si="12"/>
        <v>0.39209905660377359</v>
      </c>
      <c r="W32" s="223">
        <f t="shared" si="13"/>
        <v>0.5918476326094696</v>
      </c>
      <c r="X32" s="203">
        <f t="shared" si="14"/>
        <v>350</v>
      </c>
      <c r="Y32" s="454">
        <f t="shared" si="50"/>
        <v>350</v>
      </c>
      <c r="AA32" s="223">
        <f t="shared" si="15"/>
        <v>0.91084854994629427</v>
      </c>
      <c r="AB32" s="179">
        <f t="shared" si="16"/>
        <v>1.7185821697099894</v>
      </c>
      <c r="AC32" s="179">
        <f t="shared" si="17"/>
        <v>0.82181824055304764</v>
      </c>
      <c r="AD32" s="179"/>
      <c r="AE32" s="179">
        <f t="shared" si="18"/>
        <v>0.5660377358490567</v>
      </c>
      <c r="AF32" s="563">
        <f t="shared" si="63"/>
        <v>1059.9999999999998</v>
      </c>
      <c r="AG32" s="546">
        <f t="shared" si="19"/>
        <v>8.9150943396226423E-2</v>
      </c>
      <c r="AI32" s="179">
        <f t="shared" si="20"/>
        <v>0.55032457955023495</v>
      </c>
      <c r="AJ32" s="179">
        <f t="shared" si="21"/>
        <v>0.55032457955023495</v>
      </c>
      <c r="AK32" s="179">
        <f t="shared" si="22"/>
        <v>1.3854256144816555</v>
      </c>
      <c r="AM32" s="563">
        <f t="shared" si="23"/>
        <v>270</v>
      </c>
      <c r="AN32" s="472">
        <f t="shared" si="24"/>
        <v>350</v>
      </c>
      <c r="AP32">
        <f t="shared" si="25"/>
        <v>270</v>
      </c>
      <c r="AQ32" s="472">
        <f t="shared" si="26"/>
        <v>350</v>
      </c>
      <c r="AR32" s="472"/>
      <c r="AS32" s="6">
        <f t="shared" si="51"/>
        <v>2.8571428571428572</v>
      </c>
      <c r="AT32" s="6">
        <f t="shared" si="27"/>
        <v>0.68790572443779374</v>
      </c>
      <c r="AU32" s="6">
        <f t="shared" si="52"/>
        <v>2.1692371327050637</v>
      </c>
      <c r="AV32" s="6">
        <f t="shared" si="28"/>
        <v>1.0383482633023304</v>
      </c>
      <c r="AW32" s="179">
        <f t="shared" si="53"/>
        <v>0.2407670035532278</v>
      </c>
      <c r="AX32" s="179">
        <f t="shared" si="29"/>
        <v>1.59</v>
      </c>
      <c r="AY32" s="179">
        <f t="shared" si="30"/>
        <v>0.62673686932535244</v>
      </c>
      <c r="AZ32" s="179">
        <f t="shared" si="54"/>
        <v>2.5369498394302972</v>
      </c>
      <c r="BA32" s="472">
        <f t="shared" si="31"/>
        <v>3.7146909119640865</v>
      </c>
      <c r="BB32" s="6">
        <f t="shared" si="32"/>
        <v>0.11298110066172205</v>
      </c>
      <c r="BC32" s="6"/>
      <c r="BD32" s="179">
        <f t="shared" si="55"/>
        <v>0.15590382376153802</v>
      </c>
      <c r="BE32" s="179">
        <f t="shared" si="33"/>
        <v>0.83055247167184465</v>
      </c>
      <c r="BF32" s="179"/>
      <c r="BG32" s="546">
        <f t="shared" si="34"/>
        <v>8.5071007922140479E-3</v>
      </c>
      <c r="BH32" s="546">
        <f t="shared" si="35"/>
        <v>5.763962065064273E-2</v>
      </c>
      <c r="BI32" s="546">
        <f t="shared" si="36"/>
        <v>4.3749999999999995E-3</v>
      </c>
      <c r="BJ32" s="546">
        <f t="shared" si="37"/>
        <v>2.7860175000000001E-2</v>
      </c>
      <c r="BK32">
        <f t="shared" si="38"/>
        <v>6.96E-3</v>
      </c>
      <c r="BL32" s="546">
        <f t="shared" si="39"/>
        <v>0.10680518580940694</v>
      </c>
      <c r="BM32" s="472">
        <f t="shared" si="56"/>
        <v>106.80518580940694</v>
      </c>
      <c r="BN32" s="546">
        <f t="shared" si="40"/>
        <v>0.10476000000000001</v>
      </c>
      <c r="BO32" s="546"/>
      <c r="BQ32" s="472">
        <f t="shared" si="57"/>
        <v>104.76</v>
      </c>
      <c r="BR32" s="546">
        <f t="shared" si="41"/>
        <v>4.8612004526937423E-3</v>
      </c>
      <c r="BS32" s="546">
        <f t="shared" si="42"/>
        <v>2.7592696328008412E-2</v>
      </c>
      <c r="BT32" s="546">
        <f t="shared" si="43"/>
        <v>2.5744673676731555E-2</v>
      </c>
      <c r="BU32" s="546">
        <f t="shared" si="44"/>
        <v>6.2254670603428396E-2</v>
      </c>
      <c r="BV32" s="546">
        <f t="shared" si="45"/>
        <v>1.0600000000000002E-2</v>
      </c>
      <c r="BW32" s="472">
        <f t="shared" si="58"/>
        <v>72.854670603428403</v>
      </c>
      <c r="BX32" s="179">
        <f t="shared" si="59"/>
        <v>0.28441985641283535</v>
      </c>
      <c r="BY32" s="6">
        <f t="shared" si="60"/>
        <v>1.35</v>
      </c>
      <c r="BZ32" s="179">
        <f t="shared" si="61"/>
        <v>0.82598115453818</v>
      </c>
      <c r="CA32" s="6">
        <f t="shared" si="62"/>
        <v>82.598115453817996</v>
      </c>
      <c r="CD32" s="581">
        <f t="shared" si="46"/>
        <v>-50</v>
      </c>
      <c r="CE32">
        <f t="shared" si="47"/>
        <v>-50</v>
      </c>
    </row>
    <row r="33" spans="5:83" x14ac:dyDescent="0.2">
      <c r="E33" s="176">
        <v>28</v>
      </c>
      <c r="F33" s="223">
        <f t="shared" si="48"/>
        <v>0.28000000000000003</v>
      </c>
      <c r="G33" s="223"/>
      <c r="H33" s="223">
        <f t="shared" si="0"/>
        <v>1.4000000000000001</v>
      </c>
      <c r="I33" s="559">
        <f t="shared" si="1"/>
        <v>24</v>
      </c>
      <c r="J33" s="178">
        <f t="shared" si="2"/>
        <v>15.899999999999999</v>
      </c>
      <c r="K33" s="454">
        <f t="shared" si="3"/>
        <v>39.9</v>
      </c>
      <c r="L33" s="454"/>
      <c r="M33" s="223">
        <f t="shared" si="4"/>
        <v>0.39849624060150374</v>
      </c>
      <c r="N33" s="178">
        <f t="shared" si="5"/>
        <v>6.4556390977443598</v>
      </c>
      <c r="O33" s="178">
        <f t="shared" si="49"/>
        <v>1.4000000000000001</v>
      </c>
      <c r="P33" s="223">
        <f t="shared" si="6"/>
        <v>1.291127819548872</v>
      </c>
      <c r="Q33" s="223">
        <f t="shared" si="7"/>
        <v>5</v>
      </c>
      <c r="R33" s="223">
        <f t="shared" si="8"/>
        <v>1.4345864661654135</v>
      </c>
      <c r="S33" s="178">
        <f t="shared" si="9"/>
        <v>49.904946911278024</v>
      </c>
      <c r="T33" s="178">
        <f t="shared" si="10"/>
        <v>5</v>
      </c>
      <c r="U33" s="223">
        <f t="shared" si="11"/>
        <v>0.32529699510831589</v>
      </c>
      <c r="V33" s="223">
        <f t="shared" si="12"/>
        <v>0.40662124388539483</v>
      </c>
      <c r="W33" s="223">
        <f t="shared" si="13"/>
        <v>0.61376791529870922</v>
      </c>
      <c r="X33" s="203">
        <f t="shared" si="14"/>
        <v>350</v>
      </c>
      <c r="Y33" s="454">
        <f t="shared" si="50"/>
        <v>350</v>
      </c>
      <c r="AA33" s="223">
        <f t="shared" si="15"/>
        <v>0.91084854994629427</v>
      </c>
      <c r="AB33" s="179">
        <f t="shared" si="16"/>
        <v>1.7185821697099894</v>
      </c>
      <c r="AC33" s="179">
        <f t="shared" si="17"/>
        <v>0.82181824055304764</v>
      </c>
      <c r="AD33" s="179"/>
      <c r="AE33" s="179">
        <f t="shared" si="18"/>
        <v>0.5660377358490567</v>
      </c>
      <c r="AF33" s="563">
        <f t="shared" si="63"/>
        <v>1099.2592592592591</v>
      </c>
      <c r="AG33" s="546">
        <f t="shared" si="19"/>
        <v>8.9150943396226423E-2</v>
      </c>
      <c r="AI33" s="179">
        <f t="shared" si="20"/>
        <v>0.56042312057415522</v>
      </c>
      <c r="AJ33" s="179">
        <f t="shared" si="21"/>
        <v>0.56042312057415522</v>
      </c>
      <c r="AK33" s="179">
        <f t="shared" si="22"/>
        <v>1.3929060152401149</v>
      </c>
      <c r="AM33" s="563">
        <f t="shared" si="23"/>
        <v>280</v>
      </c>
      <c r="AN33" s="472">
        <f t="shared" si="24"/>
        <v>350</v>
      </c>
      <c r="AP33">
        <f t="shared" si="25"/>
        <v>280</v>
      </c>
      <c r="AQ33" s="472">
        <f t="shared" si="26"/>
        <v>350</v>
      </c>
      <c r="AR33" s="472"/>
      <c r="AS33" s="6">
        <f t="shared" si="51"/>
        <v>2.8571428571428572</v>
      </c>
      <c r="AT33" s="6">
        <f t="shared" si="27"/>
        <v>0.70052890071769414</v>
      </c>
      <c r="AU33" s="6">
        <f t="shared" si="52"/>
        <v>2.1566139564251632</v>
      </c>
      <c r="AV33" s="6">
        <f t="shared" si="28"/>
        <v>1.0574021142908592</v>
      </c>
      <c r="AW33" s="179">
        <f t="shared" si="53"/>
        <v>0.24518511525119294</v>
      </c>
      <c r="AX33" s="179">
        <f t="shared" si="29"/>
        <v>1.6488888888888893</v>
      </c>
      <c r="AY33" s="179">
        <f t="shared" si="30"/>
        <v>0.6345235697501217</v>
      </c>
      <c r="AZ33" s="179">
        <f t="shared" si="54"/>
        <v>2.5986251220553229</v>
      </c>
      <c r="BA33" s="472">
        <f t="shared" si="31"/>
        <v>3.9229618440190883</v>
      </c>
      <c r="BB33" s="6">
        <f t="shared" si="32"/>
        <v>0.11648377851061836</v>
      </c>
      <c r="BC33" s="6"/>
      <c r="BD33" s="179">
        <f t="shared" si="55"/>
        <v>0.16021473928165242</v>
      </c>
      <c r="BE33" s="179">
        <f t="shared" si="33"/>
        <v>0.84332873665874308</v>
      </c>
      <c r="BF33" s="179"/>
      <c r="BG33" s="546">
        <f t="shared" si="34"/>
        <v>8.9840669390807495E-3</v>
      </c>
      <c r="BH33" s="546">
        <f t="shared" si="35"/>
        <v>5.869731659113557E-2</v>
      </c>
      <c r="BI33" s="546">
        <f t="shared" si="36"/>
        <v>4.3749999999999995E-3</v>
      </c>
      <c r="BJ33" s="546">
        <f t="shared" si="37"/>
        <v>2.7860175000000001E-2</v>
      </c>
      <c r="BK33">
        <f t="shared" si="38"/>
        <v>6.96E-3</v>
      </c>
      <c r="BL33" s="546">
        <f t="shared" si="39"/>
        <v>0.10842693837025037</v>
      </c>
      <c r="BM33" s="472">
        <f t="shared" si="56"/>
        <v>108.42693837025037</v>
      </c>
      <c r="BN33" s="546">
        <f t="shared" si="40"/>
        <v>0.10864000000000001</v>
      </c>
      <c r="BO33" s="546"/>
      <c r="BQ33" s="472">
        <f t="shared" si="57"/>
        <v>108.64000000000001</v>
      </c>
      <c r="BR33" s="546">
        <f t="shared" si="41"/>
        <v>5.1337525366175717E-3</v>
      </c>
      <c r="BS33" s="546">
        <f t="shared" si="42"/>
        <v>2.844813432297727E-2</v>
      </c>
      <c r="BT33" s="546">
        <f t="shared" si="43"/>
        <v>2.6942024413383017E-2</v>
      </c>
      <c r="BU33" s="546">
        <f t="shared" si="44"/>
        <v>6.4727631776690386E-2</v>
      </c>
      <c r="BV33" s="546">
        <f t="shared" si="45"/>
        <v>1.0992592592592595E-2</v>
      </c>
      <c r="BW33" s="472">
        <f t="shared" si="58"/>
        <v>75.720224369282988</v>
      </c>
      <c r="BX33" s="179">
        <f t="shared" si="59"/>
        <v>0.29278716273953337</v>
      </c>
      <c r="BY33" s="6">
        <f t="shared" si="60"/>
        <v>1.4000000000000001</v>
      </c>
      <c r="BZ33" s="179">
        <f t="shared" si="61"/>
        <v>0.82703840790847016</v>
      </c>
      <c r="CA33" s="6">
        <f t="shared" si="62"/>
        <v>82.703840790847011</v>
      </c>
      <c r="CD33" s="581">
        <f t="shared" si="46"/>
        <v>-50</v>
      </c>
      <c r="CE33">
        <f t="shared" si="47"/>
        <v>-50</v>
      </c>
    </row>
    <row r="34" spans="5:83" x14ac:dyDescent="0.2">
      <c r="E34" s="176">
        <v>29</v>
      </c>
      <c r="F34" s="223">
        <f t="shared" si="48"/>
        <v>0.28999999999999998</v>
      </c>
      <c r="G34" s="223"/>
      <c r="H34" s="223">
        <f t="shared" si="0"/>
        <v>1.45</v>
      </c>
      <c r="I34" s="559">
        <f t="shared" si="1"/>
        <v>24</v>
      </c>
      <c r="J34" s="178">
        <f t="shared" si="2"/>
        <v>15.899999999999999</v>
      </c>
      <c r="K34" s="454">
        <f t="shared" si="3"/>
        <v>39.9</v>
      </c>
      <c r="L34" s="454"/>
      <c r="M34" s="223">
        <f t="shared" si="4"/>
        <v>0.39849624060150374</v>
      </c>
      <c r="N34" s="178">
        <f t="shared" si="5"/>
        <v>6.4556390977443598</v>
      </c>
      <c r="O34" s="178">
        <f t="shared" si="49"/>
        <v>1.45</v>
      </c>
      <c r="P34" s="223">
        <f t="shared" si="6"/>
        <v>1.291127819548872</v>
      </c>
      <c r="Q34" s="223">
        <f t="shared" si="7"/>
        <v>5</v>
      </c>
      <c r="R34" s="223">
        <f t="shared" si="8"/>
        <v>1.4345864661654135</v>
      </c>
      <c r="S34" s="178">
        <f t="shared" si="9"/>
        <v>47.911849258886882</v>
      </c>
      <c r="T34" s="178">
        <f t="shared" si="10"/>
        <v>5</v>
      </c>
      <c r="U34" s="223">
        <f t="shared" si="11"/>
        <v>0.33691474493361284</v>
      </c>
      <c r="V34" s="223">
        <f t="shared" si="12"/>
        <v>0.42114343116701608</v>
      </c>
      <c r="W34" s="223">
        <f t="shared" si="13"/>
        <v>0.63568819798794896</v>
      </c>
      <c r="X34" s="203">
        <f t="shared" si="14"/>
        <v>350</v>
      </c>
      <c r="Y34" s="454">
        <f t="shared" si="50"/>
        <v>350</v>
      </c>
      <c r="AA34" s="223">
        <f t="shared" si="15"/>
        <v>0.91084854994629427</v>
      </c>
      <c r="AB34" s="179">
        <f t="shared" si="16"/>
        <v>1.7185821697099894</v>
      </c>
      <c r="AC34" s="179">
        <f t="shared" si="17"/>
        <v>0.82181824055304764</v>
      </c>
      <c r="AD34" s="179"/>
      <c r="AE34" s="179">
        <f t="shared" si="18"/>
        <v>0.5660377358490567</v>
      </c>
      <c r="AF34" s="563">
        <f t="shared" si="63"/>
        <v>1138.5185185185182</v>
      </c>
      <c r="AG34" s="546">
        <f t="shared" si="19"/>
        <v>8.9150943396226423E-2</v>
      </c>
      <c r="AI34" s="179">
        <f t="shared" si="20"/>
        <v>0.57034288396630783</v>
      </c>
      <c r="AJ34" s="179">
        <f t="shared" si="21"/>
        <v>0.57034288396630783</v>
      </c>
      <c r="AK34" s="179">
        <f t="shared" si="22"/>
        <v>1.400253988123191</v>
      </c>
      <c r="AM34" s="563">
        <f t="shared" si="23"/>
        <v>290</v>
      </c>
      <c r="AN34" s="472">
        <f t="shared" si="24"/>
        <v>350</v>
      </c>
      <c r="AP34">
        <f t="shared" si="25"/>
        <v>290</v>
      </c>
      <c r="AQ34" s="472">
        <f t="shared" si="26"/>
        <v>350</v>
      </c>
      <c r="AR34" s="472"/>
      <c r="AS34" s="6">
        <f t="shared" si="51"/>
        <v>2.8571428571428572</v>
      </c>
      <c r="AT34" s="6">
        <f t="shared" si="27"/>
        <v>0.7129286049578849</v>
      </c>
      <c r="AU34" s="6">
        <f t="shared" si="52"/>
        <v>2.1442142521849723</v>
      </c>
      <c r="AV34" s="6">
        <f t="shared" si="28"/>
        <v>1.0761186489930337</v>
      </c>
      <c r="AW34" s="179">
        <f t="shared" si="53"/>
        <v>0.24952501173525971</v>
      </c>
      <c r="AX34" s="179">
        <f t="shared" si="29"/>
        <v>1.7077777777777778</v>
      </c>
      <c r="AY34" s="179">
        <f t="shared" si="30"/>
        <v>0.64204210372723958</v>
      </c>
      <c r="AZ34" s="179">
        <f t="shared" si="54"/>
        <v>2.6599155536118819</v>
      </c>
      <c r="BA34" s="472">
        <f t="shared" si="31"/>
        <v>4.1349859087557324</v>
      </c>
      <c r="BB34" s="6">
        <f t="shared" si="32"/>
        <v>0.11995025716312535</v>
      </c>
      <c r="BC34" s="6"/>
      <c r="BD34" s="179">
        <f t="shared" si="55"/>
        <v>0.16448732667758179</v>
      </c>
      <c r="BE34" s="179">
        <f t="shared" si="33"/>
        <v>0.85578518924738245</v>
      </c>
      <c r="BF34" s="179"/>
      <c r="BG34" s="546">
        <f t="shared" si="34"/>
        <v>9.4696282231381268E-3</v>
      </c>
      <c r="BH34" s="546">
        <f t="shared" si="35"/>
        <v>5.9736287809421154E-2</v>
      </c>
      <c r="BI34" s="546">
        <f t="shared" si="36"/>
        <v>4.3749999999999995E-3</v>
      </c>
      <c r="BJ34" s="546">
        <f t="shared" si="37"/>
        <v>2.7860175000000001E-2</v>
      </c>
      <c r="BK34">
        <f t="shared" si="38"/>
        <v>6.96E-3</v>
      </c>
      <c r="BL34" s="546">
        <f t="shared" si="39"/>
        <v>0.11004055880502067</v>
      </c>
      <c r="BM34" s="472">
        <f t="shared" si="56"/>
        <v>110.04055880502067</v>
      </c>
      <c r="BN34" s="546">
        <f t="shared" si="40"/>
        <v>0.11252</v>
      </c>
      <c r="BO34" s="546"/>
      <c r="BQ34" s="472">
        <f t="shared" si="57"/>
        <v>112.52</v>
      </c>
      <c r="BR34" s="546">
        <f t="shared" si="41"/>
        <v>5.4112161275075019E-3</v>
      </c>
      <c r="BS34" s="546">
        <f t="shared" si="42"/>
        <v>2.9294731605407132E-2</v>
      </c>
      <c r="BT34" s="546">
        <f t="shared" si="43"/>
        <v>2.8150115657334919E-2</v>
      </c>
      <c r="BU34" s="546">
        <f t="shared" si="44"/>
        <v>6.7207376774647887E-2</v>
      </c>
      <c r="BV34" s="546">
        <f t="shared" si="45"/>
        <v>1.1385185185185187E-2</v>
      </c>
      <c r="BW34" s="472">
        <f t="shared" si="58"/>
        <v>78.592561959833077</v>
      </c>
      <c r="BX34" s="179">
        <f t="shared" si="59"/>
        <v>0.30115312076485373</v>
      </c>
      <c r="BY34" s="6">
        <f t="shared" si="60"/>
        <v>1.45</v>
      </c>
      <c r="BZ34" s="179">
        <f t="shared" si="61"/>
        <v>0.82802582070417774</v>
      </c>
      <c r="CA34" s="6">
        <f t="shared" si="62"/>
        <v>82.80258207041777</v>
      </c>
      <c r="CD34" s="581">
        <f t="shared" si="46"/>
        <v>-50</v>
      </c>
      <c r="CE34">
        <f t="shared" si="47"/>
        <v>-50</v>
      </c>
    </row>
    <row r="35" spans="5:83" x14ac:dyDescent="0.2">
      <c r="E35" s="176">
        <v>30</v>
      </c>
      <c r="F35" s="223">
        <f t="shared" si="48"/>
        <v>0.3</v>
      </c>
      <c r="G35" s="223"/>
      <c r="H35" s="223">
        <f t="shared" si="0"/>
        <v>1.5</v>
      </c>
      <c r="I35" s="559">
        <f t="shared" si="1"/>
        <v>24</v>
      </c>
      <c r="J35" s="178">
        <f t="shared" si="2"/>
        <v>15.899999999999999</v>
      </c>
      <c r="K35" s="454">
        <f t="shared" si="3"/>
        <v>39.9</v>
      </c>
      <c r="L35" s="454"/>
      <c r="M35" s="223">
        <f t="shared" si="4"/>
        <v>0.39849624060150374</v>
      </c>
      <c r="N35" s="178">
        <f t="shared" si="5"/>
        <v>6.4556390977443598</v>
      </c>
      <c r="O35" s="178">
        <f t="shared" si="49"/>
        <v>1.5</v>
      </c>
      <c r="P35" s="223">
        <f t="shared" si="6"/>
        <v>1.291127819548872</v>
      </c>
      <c r="Q35" s="223">
        <f t="shared" si="7"/>
        <v>5</v>
      </c>
      <c r="R35" s="223">
        <f t="shared" si="8"/>
        <v>1.4345864661654135</v>
      </c>
      <c r="S35" s="178">
        <f t="shared" si="9"/>
        <v>46.051777949114161</v>
      </c>
      <c r="T35" s="178">
        <f t="shared" si="10"/>
        <v>5</v>
      </c>
      <c r="U35" s="223">
        <f t="shared" si="11"/>
        <v>0.34853249475890985</v>
      </c>
      <c r="V35" s="223">
        <f t="shared" si="12"/>
        <v>0.43566561844863733</v>
      </c>
      <c r="W35" s="223">
        <f t="shared" si="13"/>
        <v>0.65760848067718847</v>
      </c>
      <c r="X35" s="203">
        <f t="shared" si="14"/>
        <v>350</v>
      </c>
      <c r="Y35" s="454">
        <f t="shared" si="50"/>
        <v>350</v>
      </c>
      <c r="AA35" s="223">
        <f t="shared" si="15"/>
        <v>0.91084854994629427</v>
      </c>
      <c r="AB35" s="179">
        <f t="shared" si="16"/>
        <v>1.7185821697099894</v>
      </c>
      <c r="AC35" s="179">
        <f t="shared" si="17"/>
        <v>0.82181824055304764</v>
      </c>
      <c r="AD35" s="179"/>
      <c r="AE35" s="179">
        <f t="shared" si="18"/>
        <v>0.5660377358490567</v>
      </c>
      <c r="AF35" s="563">
        <f t="shared" si="63"/>
        <v>1177.7777777777776</v>
      </c>
      <c r="AG35" s="546">
        <f t="shared" si="19"/>
        <v>8.9150943396226423E-2</v>
      </c>
      <c r="AI35" s="179">
        <f t="shared" si="20"/>
        <v>0.58009304125108796</v>
      </c>
      <c r="AJ35" s="179">
        <f t="shared" si="21"/>
        <v>0.58009304125108796</v>
      </c>
      <c r="AK35" s="179">
        <f t="shared" si="22"/>
        <v>1.4074763268526578</v>
      </c>
      <c r="AM35" s="563">
        <f t="shared" si="23"/>
        <v>300</v>
      </c>
      <c r="AN35" s="472">
        <f t="shared" si="24"/>
        <v>350</v>
      </c>
      <c r="AP35">
        <f t="shared" si="25"/>
        <v>300</v>
      </c>
      <c r="AQ35" s="472">
        <f t="shared" si="26"/>
        <v>350</v>
      </c>
      <c r="AR35" s="472"/>
      <c r="AS35" s="6">
        <f t="shared" si="51"/>
        <v>2.8571428571428572</v>
      </c>
      <c r="AT35" s="6">
        <f t="shared" si="27"/>
        <v>0.72511630156385998</v>
      </c>
      <c r="AU35" s="6">
        <f t="shared" si="52"/>
        <v>2.1320265555789972</v>
      </c>
      <c r="AV35" s="6">
        <f t="shared" si="28"/>
        <v>1.0945151721718642</v>
      </c>
      <c r="AW35" s="179">
        <f t="shared" si="53"/>
        <v>0.253790705547351</v>
      </c>
      <c r="AX35" s="179">
        <f t="shared" si="29"/>
        <v>1.7666666666666662</v>
      </c>
      <c r="AY35" s="179">
        <f t="shared" si="30"/>
        <v>0.64930622854329867</v>
      </c>
      <c r="AZ35" s="179">
        <f t="shared" si="54"/>
        <v>2.7208527948825258</v>
      </c>
      <c r="BA35" s="472">
        <f t="shared" si="31"/>
        <v>4.3506978093831599</v>
      </c>
      <c r="BB35" s="6">
        <f t="shared" si="32"/>
        <v>0.12338116641082156</v>
      </c>
      <c r="BC35" s="6"/>
      <c r="BD35" s="179">
        <f t="shared" si="55"/>
        <v>0.16872323158418581</v>
      </c>
      <c r="BE35" s="179">
        <f t="shared" si="33"/>
        <v>0.86793781438413664</v>
      </c>
      <c r="BF35" s="179"/>
      <c r="BG35" s="546">
        <f t="shared" si="34"/>
        <v>9.9636351066737776E-3</v>
      </c>
      <c r="BH35" s="546">
        <f t="shared" si="35"/>
        <v>6.0757494908035815E-2</v>
      </c>
      <c r="BI35" s="546">
        <f t="shared" si="36"/>
        <v>4.3749999999999995E-3</v>
      </c>
      <c r="BJ35" s="546">
        <f t="shared" si="37"/>
        <v>2.7860175000000001E-2</v>
      </c>
      <c r="BK35">
        <f t="shared" si="38"/>
        <v>6.96E-3</v>
      </c>
      <c r="BL35" s="546">
        <f t="shared" si="39"/>
        <v>0.11164684527410848</v>
      </c>
      <c r="BM35" s="472">
        <f t="shared" si="56"/>
        <v>111.64684527410849</v>
      </c>
      <c r="BN35" s="546">
        <f t="shared" si="40"/>
        <v>0.11639999999999999</v>
      </c>
      <c r="BO35" s="546"/>
      <c r="BQ35" s="472">
        <f t="shared" si="57"/>
        <v>116.39999999999999</v>
      </c>
      <c r="BR35" s="546">
        <f t="shared" si="41"/>
        <v>5.6935057752421601E-3</v>
      </c>
      <c r="BS35" s="546">
        <f t="shared" si="42"/>
        <v>3.0132641985516479E-2</v>
      </c>
      <c r="BT35" s="546">
        <f t="shared" si="43"/>
        <v>2.9368668323022814E-2</v>
      </c>
      <c r="BU35" s="546">
        <f t="shared" si="44"/>
        <v>6.9693702365387425E-2</v>
      </c>
      <c r="BV35" s="546">
        <f t="shared" si="45"/>
        <v>1.1777777777777774E-2</v>
      </c>
      <c r="BW35" s="472">
        <f t="shared" si="58"/>
        <v>81.471480143165195</v>
      </c>
      <c r="BX35" s="179">
        <f t="shared" si="59"/>
        <v>0.30951832541727364</v>
      </c>
      <c r="BY35" s="6">
        <f t="shared" si="60"/>
        <v>1.5</v>
      </c>
      <c r="BZ35" s="179">
        <f t="shared" si="61"/>
        <v>0.82894988071154296</v>
      </c>
      <c r="CA35" s="6">
        <f t="shared" si="62"/>
        <v>82.894988071154302</v>
      </c>
      <c r="CD35" s="581">
        <f t="shared" si="46"/>
        <v>-50</v>
      </c>
      <c r="CE35">
        <f t="shared" si="47"/>
        <v>-50</v>
      </c>
    </row>
    <row r="36" spans="5:83" x14ac:dyDescent="0.2">
      <c r="E36" s="176">
        <v>31</v>
      </c>
      <c r="F36" s="223">
        <f t="shared" si="48"/>
        <v>0.31</v>
      </c>
      <c r="G36" s="223"/>
      <c r="H36" s="223">
        <f t="shared" si="0"/>
        <v>1.55</v>
      </c>
      <c r="I36" s="559">
        <f t="shared" si="1"/>
        <v>24</v>
      </c>
      <c r="J36" s="178">
        <f t="shared" si="2"/>
        <v>15.899999999999999</v>
      </c>
      <c r="K36" s="454">
        <f t="shared" si="3"/>
        <v>39.9</v>
      </c>
      <c r="L36" s="454"/>
      <c r="M36" s="223">
        <f t="shared" si="4"/>
        <v>0.39849624060150374</v>
      </c>
      <c r="N36" s="178">
        <f t="shared" si="5"/>
        <v>6.4556390977443598</v>
      </c>
      <c r="O36" s="178">
        <f t="shared" si="49"/>
        <v>1.55</v>
      </c>
      <c r="P36" s="223">
        <f t="shared" si="6"/>
        <v>1.291127819548872</v>
      </c>
      <c r="Q36" s="223">
        <f t="shared" si="7"/>
        <v>5</v>
      </c>
      <c r="R36" s="223">
        <f t="shared" si="8"/>
        <v>1.4345864661654135</v>
      </c>
      <c r="S36" s="178">
        <f t="shared" si="9"/>
        <v>44.311861867316445</v>
      </c>
      <c r="T36" s="178">
        <f t="shared" si="10"/>
        <v>5</v>
      </c>
      <c r="U36" s="223">
        <f t="shared" si="11"/>
        <v>0.36015024458420686</v>
      </c>
      <c r="V36" s="223">
        <f t="shared" si="12"/>
        <v>0.45018780573025857</v>
      </c>
      <c r="W36" s="223">
        <f t="shared" si="13"/>
        <v>0.67952876336642809</v>
      </c>
      <c r="X36" s="203">
        <f t="shared" si="14"/>
        <v>350</v>
      </c>
      <c r="Y36" s="454">
        <f t="shared" si="50"/>
        <v>350</v>
      </c>
      <c r="AA36" s="223">
        <f t="shared" si="15"/>
        <v>0.91084854994629427</v>
      </c>
      <c r="AB36" s="179">
        <f t="shared" si="16"/>
        <v>1.7185821697099894</v>
      </c>
      <c r="AC36" s="179">
        <f t="shared" si="17"/>
        <v>0.82181824055304764</v>
      </c>
      <c r="AD36" s="179"/>
      <c r="AE36" s="179">
        <f t="shared" si="18"/>
        <v>0.5660377358490567</v>
      </c>
      <c r="AF36" s="563">
        <f t="shared" si="63"/>
        <v>1217.037037037037</v>
      </c>
      <c r="AG36" s="546">
        <f t="shared" si="19"/>
        <v>8.9150943396226423E-2</v>
      </c>
      <c r="AI36" s="179">
        <f t="shared" si="20"/>
        <v>0.58968200559697226</v>
      </c>
      <c r="AJ36" s="179">
        <f t="shared" si="21"/>
        <v>0.58968200559697226</v>
      </c>
      <c r="AK36" s="179">
        <f t="shared" si="22"/>
        <v>1.4145792634051646</v>
      </c>
      <c r="AM36" s="563">
        <f t="shared" si="23"/>
        <v>310</v>
      </c>
      <c r="AN36" s="472">
        <f t="shared" si="24"/>
        <v>350</v>
      </c>
      <c r="AP36">
        <f t="shared" si="25"/>
        <v>310</v>
      </c>
      <c r="AQ36" s="472">
        <f t="shared" si="26"/>
        <v>350</v>
      </c>
      <c r="AR36" s="472"/>
      <c r="AS36" s="6">
        <f t="shared" si="51"/>
        <v>2.8571428571428572</v>
      </c>
      <c r="AT36" s="6">
        <f t="shared" si="27"/>
        <v>0.73710250699621538</v>
      </c>
      <c r="AU36" s="6">
        <f t="shared" si="52"/>
        <v>2.1200403501466418</v>
      </c>
      <c r="AV36" s="6">
        <f t="shared" si="28"/>
        <v>1.1126075577301364</v>
      </c>
      <c r="AW36" s="179">
        <f t="shared" si="53"/>
        <v>0.25798587744867535</v>
      </c>
      <c r="AX36" s="179">
        <f t="shared" si="29"/>
        <v>1.8255555555555552</v>
      </c>
      <c r="AY36" s="179">
        <f t="shared" si="30"/>
        <v>0.65632856395101402</v>
      </c>
      <c r="AZ36" s="179">
        <f t="shared" si="54"/>
        <v>2.7814659544389539</v>
      </c>
      <c r="BA36" s="472">
        <f t="shared" si="31"/>
        <v>4.5700355433765356</v>
      </c>
      <c r="BB36" s="6">
        <f t="shared" si="32"/>
        <v>0.12677710427188635</v>
      </c>
      <c r="BC36" s="6"/>
      <c r="BD36" s="179">
        <f t="shared" si="55"/>
        <v>0.17292397665903608</v>
      </c>
      <c r="BE36" s="179">
        <f t="shared" si="33"/>
        <v>0.87980127747260584</v>
      </c>
      <c r="BF36" s="179"/>
      <c r="BG36" s="546">
        <f t="shared" si="34"/>
        <v>1.0465945596251199E-2</v>
      </c>
      <c r="BH36" s="546">
        <f t="shared" si="35"/>
        <v>6.1761819061212864E-2</v>
      </c>
      <c r="BI36" s="546">
        <f t="shared" si="36"/>
        <v>4.3749999999999995E-3</v>
      </c>
      <c r="BJ36" s="546">
        <f t="shared" si="37"/>
        <v>2.7860175000000001E-2</v>
      </c>
      <c r="BK36">
        <f t="shared" si="38"/>
        <v>6.96E-3</v>
      </c>
      <c r="BL36" s="546">
        <f t="shared" si="39"/>
        <v>0.11324652519112249</v>
      </c>
      <c r="BM36" s="472">
        <f t="shared" si="56"/>
        <v>113.24652519112249</v>
      </c>
      <c r="BN36" s="546">
        <f t="shared" si="40"/>
        <v>0.12028</v>
      </c>
      <c r="BO36" s="546"/>
      <c r="BQ36" s="472">
        <f t="shared" si="57"/>
        <v>120.28</v>
      </c>
      <c r="BR36" s="546">
        <f t="shared" si="41"/>
        <v>5.9805403407149713E-3</v>
      </c>
      <c r="BS36" s="546">
        <f t="shared" si="42"/>
        <v>3.0962011513697166E-2</v>
      </c>
      <c r="BT36" s="546">
        <f t="shared" si="43"/>
        <v>3.059741968273709E-2</v>
      </c>
      <c r="BU36" s="546">
        <f t="shared" si="44"/>
        <v>7.2186417798294489E-2</v>
      </c>
      <c r="BV36" s="546">
        <f t="shared" si="45"/>
        <v>1.2170370370370366E-2</v>
      </c>
      <c r="BW36" s="472">
        <f t="shared" si="58"/>
        <v>84.356788168664849</v>
      </c>
      <c r="BX36" s="179">
        <f t="shared" si="59"/>
        <v>0.31788331335978737</v>
      </c>
      <c r="BY36" s="6">
        <f t="shared" si="60"/>
        <v>1.55</v>
      </c>
      <c r="BZ36" s="179">
        <f t="shared" si="61"/>
        <v>0.82981628933340257</v>
      </c>
      <c r="CA36" s="6">
        <f t="shared" si="62"/>
        <v>82.981628933340261</v>
      </c>
      <c r="CD36" s="581">
        <f t="shared" si="46"/>
        <v>-50</v>
      </c>
      <c r="CE36">
        <f t="shared" si="47"/>
        <v>-50</v>
      </c>
    </row>
    <row r="37" spans="5:83" x14ac:dyDescent="0.2">
      <c r="E37" s="176">
        <v>32</v>
      </c>
      <c r="F37" s="223">
        <f t="shared" si="48"/>
        <v>0.32</v>
      </c>
      <c r="G37" s="223"/>
      <c r="H37" s="223">
        <f t="shared" ref="H37:H68" si="64">F37*Vout</f>
        <v>1.6</v>
      </c>
      <c r="I37" s="559">
        <f t="shared" ref="I37:I68" si="65">Vin</f>
        <v>24</v>
      </c>
      <c r="J37" s="178">
        <f t="shared" ref="J37:J68" si="66">(T37+Vfwd1)*Nps</f>
        <v>15.899999999999999</v>
      </c>
      <c r="K37" s="454">
        <f t="shared" ref="K37:K68" si="67">(Vout+Vfwd1)*Nps+I37</f>
        <v>39.9</v>
      </c>
      <c r="L37" s="454"/>
      <c r="M37" s="223">
        <f t="shared" ref="M37:M68" si="68">(Vout+Vfwd1)*Nps/((Vout+Vfwd1)*Nps+I37)</f>
        <v>0.39849624060150374</v>
      </c>
      <c r="N37" s="178">
        <f t="shared" si="5"/>
        <v>6.4556390977443598</v>
      </c>
      <c r="O37" s="178">
        <f t="shared" si="49"/>
        <v>1.6</v>
      </c>
      <c r="P37" s="223">
        <f t="shared" ref="P37:P68" si="69">N37/Vout</f>
        <v>1.291127819548872</v>
      </c>
      <c r="Q37" s="223">
        <f t="shared" ref="Q37:Q68" si="70">MIN(Vout,N37/F37)</f>
        <v>5</v>
      </c>
      <c r="R37" s="223">
        <f t="shared" ref="R37:R68" si="71">Isw_max/2*I37*Nps*(Q37+Vfwd1)/Q37/(I37+Nps*(Q37+Vfwd1))</f>
        <v>1.4345864661654135</v>
      </c>
      <c r="S37" s="178">
        <f t="shared" ref="S37:S68" si="72">(SQRT(Isw_max^2*Nps^2*I37^2+4*Isw_max*F37/Efficiency*(Nps^2*Vfwd1*I37-Nps*I37^2)+4*(F37/Efficiency)^2*Nps^2*Vfwd1^2+8*(F37/Efficiency)^2*Nps*Vfwd1*I37+4*(F37/Efficiency)^2*I37^2)-2*F37/Efficiency*I37-2*F37/Efficiency*Nps*Vfwd1+Isw_max*Nps*I37)/(4*F37/Efficiency*Nps)</f>
        <v>42.680838835746592</v>
      </c>
      <c r="T37" s="178">
        <f t="shared" ref="T37:T68" si="73">MIN(Vout, S37)</f>
        <v>5</v>
      </c>
      <c r="U37" s="223">
        <f t="shared" ref="U37:U68" si="74">MIN(2*Vout*F37/(Efficiency*I37*M37), Isw_max)</f>
        <v>0.37176799440950387</v>
      </c>
      <c r="V37" s="223">
        <f t="shared" ref="V37:V68" si="75">L*U37/I37*1000000</f>
        <v>0.46470999301187982</v>
      </c>
      <c r="W37" s="223">
        <f t="shared" ref="W37:W68" si="76">L*U37/J37*1000000</f>
        <v>0.70144904605566771</v>
      </c>
      <c r="X37" s="203">
        <f t="shared" ref="X37:X68" si="77">IF(1/((350000*L)*(1/I37+1/J37))&gt;Isw_min, 350, 0.001/((Isw_min*L)*(1/I37+1/J37)))</f>
        <v>350</v>
      </c>
      <c r="Y37" s="454">
        <f t="shared" si="50"/>
        <v>350</v>
      </c>
      <c r="AA37" s="223">
        <f t="shared" ref="AA37:AA68" si="78">1/((X37*1000*L)*(1/I37+1/J37))</f>
        <v>0.91084854994629427</v>
      </c>
      <c r="AB37" s="179">
        <f t="shared" ref="AB37:AB68" si="79">L*AA37/J37*1000000</f>
        <v>1.7185821697099894</v>
      </c>
      <c r="AC37" s="179">
        <f t="shared" ref="AC37:AC68" si="80">0.5*AB37*AA37*Nps*X37/1000</f>
        <v>0.82181824055304764</v>
      </c>
      <c r="AD37" s="179"/>
      <c r="AE37" s="179">
        <f t="shared" ref="AE37:AE68" si="81">L*Isw_min/J37*1000000</f>
        <v>0.5660377358490567</v>
      </c>
      <c r="AF37" s="563">
        <f t="shared" si="63"/>
        <v>1256.2962962962961</v>
      </c>
      <c r="AG37" s="546">
        <f t="shared" ref="AG37:AG68" si="82">0.5*AE37/1000000*Isw_min*Nps*X37*1000</f>
        <v>8.9150943396226423E-2</v>
      </c>
      <c r="AI37" s="179">
        <f t="shared" ref="AI37:AI68" si="83">SQRT(F37/Efficiency/(0.5*L/J37*Fsw_DCM*Nps))</f>
        <v>0.59911751680434022</v>
      </c>
      <c r="AJ37" s="179">
        <f t="shared" ref="AJ37:AJ68" si="84">MAX(IF(F37&gt;AC37,U37,AI37),Isw_min)</f>
        <v>0.59911751680434022</v>
      </c>
      <c r="AK37" s="179">
        <f t="shared" ref="AK37:AK68" si="85">IF(F37&gt;AG37, (AJ37-Isw_min)/1.08*0.8+1.2, AF37*0.2/350+1)</f>
        <v>1.4215685309661779</v>
      </c>
      <c r="AM37" s="563">
        <f t="shared" ref="AM37:AM68" si="86">F37*1000</f>
        <v>320</v>
      </c>
      <c r="AN37" s="472">
        <f t="shared" ref="AN37:AN68" si="87">IF(F37&gt;AG37, Y37, AF37)</f>
        <v>350</v>
      </c>
      <c r="AP37">
        <f t="shared" ref="AP37:AP68" si="88">IF(H37&gt;N37, "",AM37)</f>
        <v>320</v>
      </c>
      <c r="AQ37" s="472">
        <f t="shared" ref="AQ37:AQ68" si="89">IF(H37&gt;N37, "",AN37)</f>
        <v>350</v>
      </c>
      <c r="AR37" s="472"/>
      <c r="AS37" s="6">
        <f t="shared" si="51"/>
        <v>2.8571428571428572</v>
      </c>
      <c r="AT37" s="6">
        <f t="shared" ref="AT37:AT68" si="90">L*AJ37/I37*1000000</f>
        <v>0.74889689600542531</v>
      </c>
      <c r="AU37" s="6">
        <f t="shared" si="52"/>
        <v>2.108245961137432</v>
      </c>
      <c r="AV37" s="6">
        <f t="shared" ref="AV37:AV68" si="91">L*AJ37/J37*1000000</f>
        <v>1.1304104090647928</v>
      </c>
      <c r="AW37" s="179">
        <f t="shared" si="53"/>
        <v>0.26211391360189884</v>
      </c>
      <c r="AX37" s="179">
        <f t="shared" ref="AX37:AX68" si="92">0.5*L*AJ37^2*AN37*1000</f>
        <v>1.8844444444444441</v>
      </c>
      <c r="AY37" s="179">
        <f t="shared" ref="AY37:AY68" si="93">AJ37*Nps/2*(1-AW37)</f>
        <v>0.66312071965095476</v>
      </c>
      <c r="AZ37" s="179">
        <f t="shared" si="54"/>
        <v>2.8417818786243845</v>
      </c>
      <c r="BA37" s="472">
        <f t="shared" ref="BA37:BA68" si="94">F37*AT37/Vout_ripple*1000</f>
        <v>4.7929401344347218</v>
      </c>
      <c r="BB37" s="6">
        <f t="shared" ref="BB37:BB68" si="95">H37/Efficiency/I37*AU37/Vinripple1</f>
        <v>0.13013863957638469</v>
      </c>
      <c r="BC37" s="6"/>
      <c r="BD37" s="179">
        <f t="shared" si="55"/>
        <v>0.17709097443210822</v>
      </c>
      <c r="BE37" s="179">
        <f t="shared" ref="BE37:BE68" si="96">AJ37*Nps*SQRT((1-AW37)/3)</f>
        <v>0.89138907206537721</v>
      </c>
      <c r="BF37" s="179"/>
      <c r="BG37" s="546">
        <f t="shared" ref="BG37:BG68" si="97">Rdson*BD37^2</f>
        <v>1.0976424628859761E-2</v>
      </c>
      <c r="BH37" s="546">
        <f t="shared" ref="BH37:BH68" si="98">0.5*K37*AJ37*AN37*1000*Trise</f>
        <v>6.2750070916294587E-2</v>
      </c>
      <c r="BI37" s="546">
        <f t="shared" ref="BI37:BI68" si="99">Qg*Vdd*AN37*1000</f>
        <v>4.3749999999999995E-3</v>
      </c>
      <c r="BJ37" s="546">
        <f t="shared" ref="BJ37:BJ68" si="100">0.5*(Coss+Csw)*K37^2*AN37*1000</f>
        <v>2.7860175000000001E-2</v>
      </c>
      <c r="BK37">
        <f t="shared" ref="BK37:BK68" si="101">I37*IQ</f>
        <v>6.96E-3</v>
      </c>
      <c r="BL37" s="546">
        <f t="shared" ref="BL37:BL68" si="102">(BH37+BI37+BJ37+BK37+BG37*(1+RdsonTC*(Ta-25)))/(1-BG37*RdsonTC*ThetaJA)</f>
        <v>0.11484026341933845</v>
      </c>
      <c r="BM37" s="472">
        <f t="shared" si="56"/>
        <v>114.84026341933846</v>
      </c>
      <c r="BN37" s="546">
        <f t="shared" ref="BN37:BN68" si="103">Vfwd2*F37*(1+Diode_TC/1000*(Ta-25))</f>
        <v>0.12415999999999999</v>
      </c>
      <c r="BO37" s="546"/>
      <c r="BQ37" s="472">
        <f t="shared" si="57"/>
        <v>124.16</v>
      </c>
      <c r="BR37" s="546">
        <f t="shared" ref="BR37:BR68" si="104">Rdcr_pri*BD37^2</f>
        <v>6.2722426450627219E-3</v>
      </c>
      <c r="BS37" s="546">
        <f t="shared" ref="BS37:BS68" si="105">Rdcr_sec*BE37^2</f>
        <v>3.1782979111902969E-2</v>
      </c>
      <c r="BT37" s="546">
        <f t="shared" ref="BT37:BT68" si="106">AJ37^2.5*AN37^2.5*k_core</f>
        <v>3.1836121908520462E-2</v>
      </c>
      <c r="BU37" s="546">
        <f t="shared" ref="BU37:BU68" si="107">(BT37+(BR37+BS37)*(1+Ltc*(Ta-25)))/(1-(BR37+BS37)*Ltc*ThetaCa)</f>
        <v>7.4685343661524795E-2</v>
      </c>
      <c r="BV37" s="546">
        <f t="shared" ref="BV37:BV68" si="108">0.5*Lleak*0.000000001*AJ37^2*AN37*1000</f>
        <v>1.2562962962962962E-2</v>
      </c>
      <c r="BW37" s="472">
        <f t="shared" si="58"/>
        <v>87.248306624487753</v>
      </c>
      <c r="BX37" s="179">
        <f t="shared" si="59"/>
        <v>0.32624857004382618</v>
      </c>
      <c r="BY37" s="6">
        <f t="shared" si="60"/>
        <v>1.6</v>
      </c>
      <c r="BZ37" s="179">
        <f t="shared" si="61"/>
        <v>0.83063007800888156</v>
      </c>
      <c r="CA37" s="6">
        <f t="shared" si="62"/>
        <v>83.063007800888158</v>
      </c>
      <c r="CD37" s="581">
        <f t="shared" ref="CD37:CD68" si="109">IF(ABS(F37-Ioutmax_Vinnom)&lt;Iout/200, AN37, -50)</f>
        <v>-50</v>
      </c>
      <c r="CE37">
        <f t="shared" ref="CE37:CE68" si="110">IF(ABS(F37-Ioutmax_Vinnom)&lt;Iout/200, N37*BZ37, -50)</f>
        <v>-50</v>
      </c>
    </row>
    <row r="38" spans="5:83" x14ac:dyDescent="0.2">
      <c r="E38" s="176">
        <v>33</v>
      </c>
      <c r="F38" s="223">
        <f t="shared" ref="F38:F69" si="111">IF(PLOT_TYPE=1, E38/100*Iout_max, min_I*EXP(N38*rr/100))</f>
        <v>0.33</v>
      </c>
      <c r="G38" s="223"/>
      <c r="H38" s="223">
        <f t="shared" si="64"/>
        <v>1.6500000000000001</v>
      </c>
      <c r="I38" s="559">
        <f t="shared" si="65"/>
        <v>24</v>
      </c>
      <c r="J38" s="178">
        <f t="shared" si="66"/>
        <v>15.899999999999999</v>
      </c>
      <c r="K38" s="454">
        <f t="shared" si="67"/>
        <v>39.9</v>
      </c>
      <c r="L38" s="454"/>
      <c r="M38" s="223">
        <f t="shared" si="68"/>
        <v>0.39849624060150374</v>
      </c>
      <c r="N38" s="178">
        <f t="shared" si="5"/>
        <v>6.4556390977443598</v>
      </c>
      <c r="O38" s="178">
        <f t="shared" si="49"/>
        <v>1.6500000000000001</v>
      </c>
      <c r="P38" s="223">
        <f t="shared" si="69"/>
        <v>1.291127819548872</v>
      </c>
      <c r="Q38" s="223">
        <f t="shared" si="70"/>
        <v>5</v>
      </c>
      <c r="R38" s="223">
        <f t="shared" si="71"/>
        <v>1.4345864661654135</v>
      </c>
      <c r="S38" s="178">
        <f t="shared" si="72"/>
        <v>41.148811836335824</v>
      </c>
      <c r="T38" s="178">
        <f t="shared" si="73"/>
        <v>5</v>
      </c>
      <c r="U38" s="223">
        <f t="shared" si="74"/>
        <v>0.38338574423480087</v>
      </c>
      <c r="V38" s="223">
        <f t="shared" si="75"/>
        <v>0.47923218029350112</v>
      </c>
      <c r="W38" s="223">
        <f t="shared" si="76"/>
        <v>0.72336932874490745</v>
      </c>
      <c r="X38" s="203">
        <f t="shared" si="77"/>
        <v>350</v>
      </c>
      <c r="Y38" s="454">
        <f t="shared" si="50"/>
        <v>350</v>
      </c>
      <c r="AA38" s="223">
        <f t="shared" si="78"/>
        <v>0.91084854994629427</v>
      </c>
      <c r="AB38" s="179">
        <f t="shared" si="79"/>
        <v>1.7185821697099894</v>
      </c>
      <c r="AC38" s="179">
        <f t="shared" si="80"/>
        <v>0.82181824055304764</v>
      </c>
      <c r="AD38" s="179"/>
      <c r="AE38" s="179">
        <f t="shared" si="81"/>
        <v>0.5660377358490567</v>
      </c>
      <c r="AF38" s="563">
        <f t="shared" si="63"/>
        <v>1295.5555555555552</v>
      </c>
      <c r="AG38" s="546">
        <f t="shared" si="82"/>
        <v>8.9150943396226423E-2</v>
      </c>
      <c r="AI38" s="179">
        <f t="shared" si="83"/>
        <v>0.60840671442607386</v>
      </c>
      <c r="AJ38" s="179">
        <f t="shared" si="84"/>
        <v>0.60840671442607386</v>
      </c>
      <c r="AK38" s="179">
        <f t="shared" si="85"/>
        <v>1.428449418093388</v>
      </c>
      <c r="AM38" s="563">
        <f t="shared" si="86"/>
        <v>330</v>
      </c>
      <c r="AN38" s="472">
        <f t="shared" si="87"/>
        <v>350</v>
      </c>
      <c r="AP38">
        <f t="shared" si="88"/>
        <v>330</v>
      </c>
      <c r="AQ38" s="472">
        <f t="shared" si="89"/>
        <v>350</v>
      </c>
      <c r="AR38" s="472"/>
      <c r="AS38" s="6">
        <f t="shared" si="51"/>
        <v>2.8571428571428572</v>
      </c>
      <c r="AT38" s="6">
        <f t="shared" si="90"/>
        <v>0.76050839303259221</v>
      </c>
      <c r="AU38" s="6">
        <f t="shared" si="52"/>
        <v>2.0966344641102648</v>
      </c>
      <c r="AV38" s="6">
        <f t="shared" si="91"/>
        <v>1.147937197030328</v>
      </c>
      <c r="AW38" s="179">
        <f t="shared" si="53"/>
        <v>0.26617793756140729</v>
      </c>
      <c r="AX38" s="179">
        <f t="shared" si="92"/>
        <v>1.9433333333333336</v>
      </c>
      <c r="AY38" s="179">
        <f t="shared" si="93"/>
        <v>0.66969340497244412</v>
      </c>
      <c r="AZ38" s="179">
        <f t="shared" si="54"/>
        <v>2.9018254008538369</v>
      </c>
      <c r="BA38" s="472">
        <f t="shared" si="94"/>
        <v>5.0193553940151094</v>
      </c>
      <c r="BB38" s="6">
        <f t="shared" si="95"/>
        <v>0.13346631426627842</v>
      </c>
      <c r="BC38" s="6"/>
      <c r="BD38" s="179">
        <f t="shared" si="55"/>
        <v>0.18122553845415965</v>
      </c>
      <c r="BE38" s="179">
        <f t="shared" si="96"/>
        <v>0.90271364694690959</v>
      </c>
      <c r="BF38" s="179"/>
      <c r="BG38" s="546">
        <f t="shared" si="97"/>
        <v>1.1494943525800033E-2</v>
      </c>
      <c r="BH38" s="546">
        <f t="shared" si="98"/>
        <v>6.3722998252200902E-2</v>
      </c>
      <c r="BI38" s="546">
        <f t="shared" si="99"/>
        <v>4.3749999999999995E-3</v>
      </c>
      <c r="BJ38" s="546">
        <f t="shared" si="100"/>
        <v>2.7860175000000001E-2</v>
      </c>
      <c r="BK38">
        <f t="shared" si="101"/>
        <v>6.96E-3</v>
      </c>
      <c r="BL38" s="546">
        <f t="shared" si="102"/>
        <v>0.1164286693030072</v>
      </c>
      <c r="BM38" s="472">
        <f t="shared" si="56"/>
        <v>116.4286693030072</v>
      </c>
      <c r="BN38" s="546">
        <f t="shared" si="103"/>
        <v>0.12804000000000001</v>
      </c>
      <c r="BO38" s="546"/>
      <c r="BQ38" s="472">
        <f t="shared" si="57"/>
        <v>128.04000000000002</v>
      </c>
      <c r="BR38" s="546">
        <f t="shared" si="104"/>
        <v>6.5685391576000189E-3</v>
      </c>
      <c r="BS38" s="546">
        <f t="shared" si="105"/>
        <v>3.2595677135367589E-2</v>
      </c>
      <c r="BT38" s="546">
        <f t="shared" si="106"/>
        <v>3.3084540785767232E-2</v>
      </c>
      <c r="BU38" s="546">
        <f t="shared" si="107"/>
        <v>7.7190310876361634E-2</v>
      </c>
      <c r="BV38" s="546">
        <f t="shared" si="108"/>
        <v>1.2955555555555557E-2</v>
      </c>
      <c r="BW38" s="472">
        <f t="shared" si="58"/>
        <v>90.145866431917185</v>
      </c>
      <c r="BX38" s="179">
        <f t="shared" si="59"/>
        <v>0.33461453573492439</v>
      </c>
      <c r="BY38" s="6">
        <f t="shared" si="60"/>
        <v>1.6500000000000001</v>
      </c>
      <c r="BZ38" s="179">
        <f t="shared" si="61"/>
        <v>0.83139570445048017</v>
      </c>
      <c r="CA38" s="6">
        <f t="shared" si="62"/>
        <v>83.139570445048022</v>
      </c>
      <c r="CD38" s="581">
        <f t="shared" si="109"/>
        <v>-50</v>
      </c>
      <c r="CE38">
        <f t="shared" si="110"/>
        <v>-50</v>
      </c>
    </row>
    <row r="39" spans="5:83" x14ac:dyDescent="0.2">
      <c r="E39" s="176">
        <v>34</v>
      </c>
      <c r="F39" s="223">
        <f t="shared" si="111"/>
        <v>0.34</v>
      </c>
      <c r="G39" s="223"/>
      <c r="H39" s="223">
        <f t="shared" si="64"/>
        <v>1.7000000000000002</v>
      </c>
      <c r="I39" s="559">
        <f t="shared" si="65"/>
        <v>24</v>
      </c>
      <c r="J39" s="178">
        <f t="shared" si="66"/>
        <v>15.899999999999999</v>
      </c>
      <c r="K39" s="454">
        <f t="shared" si="67"/>
        <v>39.9</v>
      </c>
      <c r="L39" s="454"/>
      <c r="M39" s="223">
        <f t="shared" si="68"/>
        <v>0.39849624060150374</v>
      </c>
      <c r="N39" s="178">
        <f t="shared" si="5"/>
        <v>6.4556390977443598</v>
      </c>
      <c r="O39" s="178">
        <f t="shared" si="49"/>
        <v>1.7000000000000002</v>
      </c>
      <c r="P39" s="223">
        <f t="shared" si="69"/>
        <v>1.291127819548872</v>
      </c>
      <c r="Q39" s="223">
        <f t="shared" si="70"/>
        <v>5</v>
      </c>
      <c r="R39" s="223">
        <f t="shared" si="71"/>
        <v>1.4345864661654135</v>
      </c>
      <c r="S39" s="178">
        <f t="shared" si="72"/>
        <v>39.707048253012488</v>
      </c>
      <c r="T39" s="178">
        <f t="shared" si="73"/>
        <v>5</v>
      </c>
      <c r="U39" s="223">
        <f t="shared" si="74"/>
        <v>0.39500349406009788</v>
      </c>
      <c r="V39" s="223">
        <f t="shared" si="75"/>
        <v>0.49375436757512237</v>
      </c>
      <c r="W39" s="223">
        <f t="shared" si="76"/>
        <v>0.74528961143414707</v>
      </c>
      <c r="X39" s="203">
        <f t="shared" si="77"/>
        <v>350</v>
      </c>
      <c r="Y39" s="454">
        <f t="shared" si="50"/>
        <v>350</v>
      </c>
      <c r="AA39" s="223">
        <f t="shared" si="78"/>
        <v>0.91084854994629427</v>
      </c>
      <c r="AB39" s="179">
        <f t="shared" si="79"/>
        <v>1.7185821697099894</v>
      </c>
      <c r="AC39" s="179">
        <f t="shared" si="80"/>
        <v>0.82181824055304764</v>
      </c>
      <c r="AD39" s="179"/>
      <c r="AE39" s="179">
        <f t="shared" si="81"/>
        <v>0.5660377358490567</v>
      </c>
      <c r="AF39" s="563">
        <f t="shared" si="63"/>
        <v>1334.8148148148146</v>
      </c>
      <c r="AG39" s="546">
        <f t="shared" si="82"/>
        <v>8.9150943396226423E-2</v>
      </c>
      <c r="AI39" s="179">
        <f t="shared" si="83"/>
        <v>0.61755620098551456</v>
      </c>
      <c r="AJ39" s="179">
        <f t="shared" si="84"/>
        <v>0.61755620098551456</v>
      </c>
      <c r="AK39" s="179">
        <f t="shared" si="85"/>
        <v>1.4352268155448256</v>
      </c>
      <c r="AM39" s="563">
        <f t="shared" si="86"/>
        <v>340</v>
      </c>
      <c r="AN39" s="472">
        <f t="shared" si="87"/>
        <v>350</v>
      </c>
      <c r="AP39">
        <f t="shared" si="88"/>
        <v>340</v>
      </c>
      <c r="AQ39" s="472">
        <f t="shared" si="89"/>
        <v>350</v>
      </c>
      <c r="AR39" s="472"/>
      <c r="AS39" s="6">
        <f t="shared" si="51"/>
        <v>2.8571428571428572</v>
      </c>
      <c r="AT39" s="6">
        <f t="shared" si="90"/>
        <v>0.77194525123189317</v>
      </c>
      <c r="AU39" s="6">
        <f t="shared" si="52"/>
        <v>2.085197605910964</v>
      </c>
      <c r="AV39" s="6">
        <f t="shared" si="91"/>
        <v>1.1652003792179519</v>
      </c>
      <c r="AW39" s="179">
        <f t="shared" si="53"/>
        <v>0.2701808379311626</v>
      </c>
      <c r="AX39" s="179">
        <f t="shared" si="92"/>
        <v>2.0022222222222217</v>
      </c>
      <c r="AY39" s="179">
        <f t="shared" si="93"/>
        <v>0.67605652370049429</v>
      </c>
      <c r="AZ39" s="179">
        <f t="shared" si="54"/>
        <v>2.961619556990243</v>
      </c>
      <c r="BA39" s="472">
        <f t="shared" si="94"/>
        <v>5.249227708376873</v>
      </c>
      <c r="BB39" s="6">
        <f t="shared" si="95"/>
        <v>0.13676064544940736</v>
      </c>
      <c r="BC39" s="6"/>
      <c r="BD39" s="179">
        <f t="shared" si="55"/>
        <v>0.18532889301367941</v>
      </c>
      <c r="BE39" s="179">
        <f t="shared" si="96"/>
        <v>0.91378651601777405</v>
      </c>
      <c r="BF39" s="179"/>
      <c r="BG39" s="546">
        <f t="shared" si="97"/>
        <v>1.2021379504986541E-2</v>
      </c>
      <c r="BH39" s="546">
        <f t="shared" si="98"/>
        <v>6.4681292600720322E-2</v>
      </c>
      <c r="BI39" s="546">
        <f t="shared" si="99"/>
        <v>4.3749999999999995E-3</v>
      </c>
      <c r="BJ39" s="546">
        <f t="shared" si="100"/>
        <v>2.7860175000000001E-2</v>
      </c>
      <c r="BK39">
        <f t="shared" si="101"/>
        <v>6.96E-3</v>
      </c>
      <c r="BL39" s="546">
        <f t="shared" si="102"/>
        <v>0.11801230272858448</v>
      </c>
      <c r="BM39" s="472">
        <f t="shared" si="56"/>
        <v>118.01230272858449</v>
      </c>
      <c r="BN39" s="546">
        <f t="shared" si="103"/>
        <v>0.13192000000000001</v>
      </c>
      <c r="BO39" s="546"/>
      <c r="BQ39" s="472">
        <f t="shared" si="57"/>
        <v>131.92000000000002</v>
      </c>
      <c r="BR39" s="546">
        <f t="shared" si="104"/>
        <v>6.8693597171351666E-3</v>
      </c>
      <c r="BS39" s="546">
        <f t="shared" si="105"/>
        <v>3.3400231874236061E-2</v>
      </c>
      <c r="BT39" s="546">
        <f t="shared" si="106"/>
        <v>3.4342454573688903E-2</v>
      </c>
      <c r="BU39" s="546">
        <f t="shared" si="107"/>
        <v>7.9701159808412164E-2</v>
      </c>
      <c r="BV39" s="546">
        <f t="shared" si="108"/>
        <v>1.3348148148148144E-2</v>
      </c>
      <c r="BW39" s="472">
        <f t="shared" si="58"/>
        <v>93.049307956560298</v>
      </c>
      <c r="BX39" s="179">
        <f t="shared" si="59"/>
        <v>0.34298161068514482</v>
      </c>
      <c r="BY39" s="6">
        <f t="shared" si="60"/>
        <v>1.7000000000000002</v>
      </c>
      <c r="BZ39" s="179">
        <f t="shared" si="61"/>
        <v>0.83211713267936827</v>
      </c>
      <c r="CA39" s="6">
        <f t="shared" si="62"/>
        <v>83.21171326793683</v>
      </c>
      <c r="CD39" s="581">
        <f t="shared" si="109"/>
        <v>-50</v>
      </c>
      <c r="CE39">
        <f t="shared" si="110"/>
        <v>-50</v>
      </c>
    </row>
    <row r="40" spans="5:83" x14ac:dyDescent="0.2">
      <c r="E40" s="176">
        <v>35</v>
      </c>
      <c r="F40" s="223">
        <f t="shared" si="111"/>
        <v>0.35</v>
      </c>
      <c r="G40" s="223"/>
      <c r="H40" s="223">
        <f t="shared" si="64"/>
        <v>1.75</v>
      </c>
      <c r="I40" s="559">
        <f t="shared" si="65"/>
        <v>24</v>
      </c>
      <c r="J40" s="178">
        <f t="shared" si="66"/>
        <v>15.899999999999999</v>
      </c>
      <c r="K40" s="454">
        <f t="shared" si="67"/>
        <v>39.9</v>
      </c>
      <c r="L40" s="454"/>
      <c r="M40" s="223">
        <f t="shared" si="68"/>
        <v>0.39849624060150374</v>
      </c>
      <c r="N40" s="178">
        <f t="shared" si="5"/>
        <v>6.4556390977443598</v>
      </c>
      <c r="O40" s="178">
        <f t="shared" si="49"/>
        <v>1.75</v>
      </c>
      <c r="P40" s="223">
        <f t="shared" si="69"/>
        <v>1.291127819548872</v>
      </c>
      <c r="Q40" s="223">
        <f t="shared" si="70"/>
        <v>5</v>
      </c>
      <c r="R40" s="223">
        <f t="shared" si="71"/>
        <v>1.4345864661654135</v>
      </c>
      <c r="S40" s="178">
        <f t="shared" si="72"/>
        <v>38.347813529651049</v>
      </c>
      <c r="T40" s="178">
        <f t="shared" si="73"/>
        <v>5</v>
      </c>
      <c r="U40" s="223">
        <f t="shared" si="74"/>
        <v>0.40662124388539483</v>
      </c>
      <c r="V40" s="223">
        <f t="shared" si="75"/>
        <v>0.50827655485674361</v>
      </c>
      <c r="W40" s="223">
        <f t="shared" si="76"/>
        <v>0.76720989412338658</v>
      </c>
      <c r="X40" s="203">
        <f t="shared" si="77"/>
        <v>350</v>
      </c>
      <c r="Y40" s="454">
        <f t="shared" si="50"/>
        <v>350</v>
      </c>
      <c r="AA40" s="223">
        <f t="shared" si="78"/>
        <v>0.91084854994629427</v>
      </c>
      <c r="AB40" s="179">
        <f t="shared" si="79"/>
        <v>1.7185821697099894</v>
      </c>
      <c r="AC40" s="179">
        <f t="shared" si="80"/>
        <v>0.82181824055304764</v>
      </c>
      <c r="AD40" s="179"/>
      <c r="AE40" s="179">
        <f t="shared" si="81"/>
        <v>0.5660377358490567</v>
      </c>
      <c r="AF40" s="563">
        <f t="shared" ref="AF40:AF71" si="112">MAX(10000,F40/(0.5*AE40/1000000*Isw_min*Nps))/1000</f>
        <v>1374.0740740740737</v>
      </c>
      <c r="AG40" s="546">
        <f t="shared" si="82"/>
        <v>8.9150943396226423E-2</v>
      </c>
      <c r="AI40" s="179">
        <f t="shared" si="83"/>
        <v>0.62657209688318594</v>
      </c>
      <c r="AJ40" s="179">
        <f t="shared" si="84"/>
        <v>0.62657209688318594</v>
      </c>
      <c r="AK40" s="179">
        <f t="shared" si="85"/>
        <v>1.4419052569505082</v>
      </c>
      <c r="AM40" s="563">
        <f t="shared" si="86"/>
        <v>350</v>
      </c>
      <c r="AN40" s="472">
        <f t="shared" si="87"/>
        <v>350</v>
      </c>
      <c r="AP40">
        <f t="shared" si="88"/>
        <v>350</v>
      </c>
      <c r="AQ40" s="472">
        <f t="shared" si="89"/>
        <v>350</v>
      </c>
      <c r="AR40" s="472"/>
      <c r="AS40" s="6">
        <f t="shared" si="51"/>
        <v>2.8571428571428572</v>
      </c>
      <c r="AT40" s="6">
        <f t="shared" si="90"/>
        <v>0.78321512110398239</v>
      </c>
      <c r="AU40" s="6">
        <f t="shared" si="52"/>
        <v>2.0739277360388746</v>
      </c>
      <c r="AV40" s="6">
        <f t="shared" si="91"/>
        <v>1.1822115035531811</v>
      </c>
      <c r="AW40" s="179">
        <f t="shared" si="53"/>
        <v>0.27412529238639383</v>
      </c>
      <c r="AX40" s="179">
        <f t="shared" si="92"/>
        <v>2.0611111111111109</v>
      </c>
      <c r="AY40" s="179">
        <f t="shared" si="93"/>
        <v>0.6822192564358901</v>
      </c>
      <c r="AZ40" s="179">
        <f t="shared" si="54"/>
        <v>3.0211857722676272</v>
      </c>
      <c r="BA40" s="472">
        <f t="shared" si="94"/>
        <v>5.4825058477278761</v>
      </c>
      <c r="BB40" s="6">
        <f t="shared" si="95"/>
        <v>0.14002212724027893</v>
      </c>
      <c r="BC40" s="6"/>
      <c r="BD40" s="179">
        <f t="shared" si="55"/>
        <v>0.1894021816428178</v>
      </c>
      <c r="BE40" s="179">
        <f t="shared" si="96"/>
        <v>0.92461835374290902</v>
      </c>
      <c r="BF40" s="179"/>
      <c r="BG40" s="546">
        <f t="shared" si="97"/>
        <v>1.2555615243870633E-2</v>
      </c>
      <c r="BH40" s="546">
        <f t="shared" si="98"/>
        <v>6.5625594997302694E-2</v>
      </c>
      <c r="BI40" s="546">
        <f t="shared" si="99"/>
        <v>4.3749999999999995E-3</v>
      </c>
      <c r="BJ40" s="546">
        <f t="shared" si="100"/>
        <v>2.7860175000000001E-2</v>
      </c>
      <c r="BK40">
        <f t="shared" si="101"/>
        <v>6.96E-3</v>
      </c>
      <c r="BL40" s="546">
        <f t="shared" si="102"/>
        <v>0.11959167937360599</v>
      </c>
      <c r="BM40" s="472">
        <f t="shared" si="56"/>
        <v>119.59167937360598</v>
      </c>
      <c r="BN40" s="546">
        <f t="shared" si="103"/>
        <v>0.13579999999999998</v>
      </c>
      <c r="BO40" s="546"/>
      <c r="BQ40" s="472">
        <f t="shared" si="57"/>
        <v>135.79999999999998</v>
      </c>
      <c r="BR40" s="546">
        <f t="shared" si="104"/>
        <v>7.1746372822117906E-3</v>
      </c>
      <c r="BS40" s="546">
        <f t="shared" si="105"/>
        <v>3.419676400312989E-2</v>
      </c>
      <c r="BT40" s="546">
        <f t="shared" si="106"/>
        <v>3.5609652992031643E-2</v>
      </c>
      <c r="BU40" s="546">
        <f t="shared" si="107"/>
        <v>8.2217739479035198E-2</v>
      </c>
      <c r="BV40" s="546">
        <f t="shared" si="108"/>
        <v>1.3740740740740739E-2</v>
      </c>
      <c r="BW40" s="472">
        <f t="shared" si="58"/>
        <v>95.958480219775936</v>
      </c>
      <c r="BX40" s="179">
        <f t="shared" si="59"/>
        <v>0.35135015959338189</v>
      </c>
      <c r="BY40" s="6">
        <f t="shared" si="60"/>
        <v>1.75</v>
      </c>
      <c r="BZ40" s="179">
        <f t="shared" si="61"/>
        <v>0.83279789996476861</v>
      </c>
      <c r="CA40" s="6">
        <f t="shared" si="62"/>
        <v>83.279789996476865</v>
      </c>
      <c r="CD40" s="581">
        <f t="shared" si="109"/>
        <v>-50</v>
      </c>
      <c r="CE40">
        <f t="shared" si="110"/>
        <v>-50</v>
      </c>
    </row>
    <row r="41" spans="5:83" x14ac:dyDescent="0.2">
      <c r="E41" s="176">
        <v>36</v>
      </c>
      <c r="F41" s="223">
        <f t="shared" si="111"/>
        <v>0.36</v>
      </c>
      <c r="G41" s="223"/>
      <c r="H41" s="223">
        <f t="shared" si="64"/>
        <v>1.7999999999999998</v>
      </c>
      <c r="I41" s="559">
        <f t="shared" si="65"/>
        <v>24</v>
      </c>
      <c r="J41" s="178">
        <f t="shared" si="66"/>
        <v>15.899999999999999</v>
      </c>
      <c r="K41" s="454">
        <f t="shared" si="67"/>
        <v>39.9</v>
      </c>
      <c r="L41" s="454"/>
      <c r="M41" s="223">
        <f t="shared" si="68"/>
        <v>0.39849624060150374</v>
      </c>
      <c r="N41" s="178">
        <f t="shared" si="5"/>
        <v>6.4556390977443598</v>
      </c>
      <c r="O41" s="178">
        <f t="shared" si="49"/>
        <v>1.7999999999999998</v>
      </c>
      <c r="P41" s="223">
        <f t="shared" si="69"/>
        <v>1.291127819548872</v>
      </c>
      <c r="Q41" s="223">
        <f t="shared" si="70"/>
        <v>5</v>
      </c>
      <c r="R41" s="223">
        <f t="shared" si="71"/>
        <v>1.4345864661654135</v>
      </c>
      <c r="S41" s="178">
        <f t="shared" si="72"/>
        <v>37.064232551723833</v>
      </c>
      <c r="T41" s="178">
        <f t="shared" si="73"/>
        <v>5</v>
      </c>
      <c r="U41" s="223">
        <f t="shared" si="74"/>
        <v>0.41823899371069179</v>
      </c>
      <c r="V41" s="223">
        <f t="shared" si="75"/>
        <v>0.52279874213836475</v>
      </c>
      <c r="W41" s="223">
        <f t="shared" si="76"/>
        <v>0.78913017681262598</v>
      </c>
      <c r="X41" s="203">
        <f t="shared" si="77"/>
        <v>350</v>
      </c>
      <c r="Y41" s="454">
        <f t="shared" si="50"/>
        <v>350</v>
      </c>
      <c r="AA41" s="223">
        <f t="shared" si="78"/>
        <v>0.91084854994629427</v>
      </c>
      <c r="AB41" s="179">
        <f t="shared" si="79"/>
        <v>1.7185821697099894</v>
      </c>
      <c r="AC41" s="179">
        <f t="shared" si="80"/>
        <v>0.82181824055304764</v>
      </c>
      <c r="AD41" s="179"/>
      <c r="AE41" s="179">
        <f t="shared" si="81"/>
        <v>0.5660377358490567</v>
      </c>
      <c r="AF41" s="563">
        <f t="shared" si="112"/>
        <v>1413.333333333333</v>
      </c>
      <c r="AG41" s="546">
        <f t="shared" si="82"/>
        <v>8.9150943396226423E-2</v>
      </c>
      <c r="AI41" s="179">
        <f t="shared" si="83"/>
        <v>0.63546008828999145</v>
      </c>
      <c r="AJ41" s="179">
        <f t="shared" si="84"/>
        <v>0.63546008828999145</v>
      </c>
      <c r="AK41" s="179">
        <f t="shared" si="85"/>
        <v>1.4484889542888826</v>
      </c>
      <c r="AM41" s="563">
        <f t="shared" si="86"/>
        <v>360</v>
      </c>
      <c r="AN41" s="472">
        <f t="shared" si="87"/>
        <v>350</v>
      </c>
      <c r="AP41">
        <f t="shared" si="88"/>
        <v>360</v>
      </c>
      <c r="AQ41" s="472">
        <f t="shared" si="89"/>
        <v>350</v>
      </c>
      <c r="AR41" s="472"/>
      <c r="AS41" s="6">
        <f t="shared" si="51"/>
        <v>2.8571428571428572</v>
      </c>
      <c r="AT41" s="6">
        <f t="shared" si="90"/>
        <v>0.79432511036248932</v>
      </c>
      <c r="AU41" s="6">
        <f t="shared" si="52"/>
        <v>2.0628177467803681</v>
      </c>
      <c r="AV41" s="6">
        <f t="shared" si="91"/>
        <v>1.1989812986603612</v>
      </c>
      <c r="AW41" s="179">
        <f t="shared" si="53"/>
        <v>0.27801378862687126</v>
      </c>
      <c r="AX41" s="179">
        <f t="shared" si="92"/>
        <v>2.1199999999999997</v>
      </c>
      <c r="AY41" s="179">
        <f t="shared" si="93"/>
        <v>0.68819013243498728</v>
      </c>
      <c r="AZ41" s="179">
        <f t="shared" si="54"/>
        <v>3.080544024220333</v>
      </c>
      <c r="BA41" s="472">
        <f t="shared" si="94"/>
        <v>5.7191407946099222</v>
      </c>
      <c r="BB41" s="6">
        <f t="shared" si="95"/>
        <v>0.1432512324153033</v>
      </c>
      <c r="BC41" s="6"/>
      <c r="BD41" s="179">
        <f t="shared" si="55"/>
        <v>0.19344647459344622</v>
      </c>
      <c r="BE41" s="179">
        <f t="shared" si="96"/>
        <v>0.93521907841685725</v>
      </c>
      <c r="BF41" s="179"/>
      <c r="BG41" s="546">
        <f t="shared" si="97"/>
        <v>1.309753848642149E-2</v>
      </c>
      <c r="BH41" s="546">
        <f t="shared" si="98"/>
        <v>6.6556500997272963E-2</v>
      </c>
      <c r="BI41" s="546">
        <f t="shared" si="99"/>
        <v>4.3749999999999995E-3</v>
      </c>
      <c r="BJ41" s="546">
        <f t="shared" si="100"/>
        <v>2.7860175000000001E-2</v>
      </c>
      <c r="BK41">
        <f t="shared" si="101"/>
        <v>6.96E-3</v>
      </c>
      <c r="BL41" s="546">
        <f t="shared" si="102"/>
        <v>0.12116727527158985</v>
      </c>
      <c r="BM41" s="472">
        <f t="shared" si="56"/>
        <v>121.16727527158986</v>
      </c>
      <c r="BN41" s="546">
        <f t="shared" si="103"/>
        <v>0.13968</v>
      </c>
      <c r="BO41" s="546"/>
      <c r="BQ41" s="472">
        <f t="shared" si="57"/>
        <v>139.68</v>
      </c>
      <c r="BR41" s="546">
        <f t="shared" si="104"/>
        <v>7.4843077065265664E-3</v>
      </c>
      <c r="BS41" s="546">
        <f t="shared" si="105"/>
        <v>3.4985388985395036E-2</v>
      </c>
      <c r="BT41" s="546">
        <f t="shared" si="106"/>
        <v>3.6885936316833005E-2</v>
      </c>
      <c r="BU41" s="546">
        <f t="shared" si="107"/>
        <v>8.4739906863159617E-2</v>
      </c>
      <c r="BV41" s="546">
        <f t="shared" si="108"/>
        <v>1.4133333333333331E-2</v>
      </c>
      <c r="BW41" s="472">
        <f t="shared" si="58"/>
        <v>98.873240196492944</v>
      </c>
      <c r="BX41" s="179">
        <f t="shared" si="59"/>
        <v>0.35972051546808281</v>
      </c>
      <c r="BY41" s="6">
        <f t="shared" si="60"/>
        <v>1.7999999999999998</v>
      </c>
      <c r="BZ41" s="179">
        <f t="shared" si="61"/>
        <v>0.8334411731093273</v>
      </c>
      <c r="CA41" s="6">
        <f t="shared" si="62"/>
        <v>83.344117310932731</v>
      </c>
      <c r="CD41" s="581">
        <f t="shared" si="109"/>
        <v>-50</v>
      </c>
      <c r="CE41">
        <f t="shared" si="110"/>
        <v>-50</v>
      </c>
    </row>
    <row r="42" spans="5:83" x14ac:dyDescent="0.2">
      <c r="E42" s="176">
        <v>37</v>
      </c>
      <c r="F42" s="223">
        <f t="shared" si="111"/>
        <v>0.37</v>
      </c>
      <c r="G42" s="223"/>
      <c r="H42" s="223">
        <f t="shared" si="64"/>
        <v>1.85</v>
      </c>
      <c r="I42" s="559">
        <f t="shared" si="65"/>
        <v>24</v>
      </c>
      <c r="J42" s="178">
        <f t="shared" si="66"/>
        <v>15.899999999999999</v>
      </c>
      <c r="K42" s="454">
        <f t="shared" si="67"/>
        <v>39.9</v>
      </c>
      <c r="L42" s="454"/>
      <c r="M42" s="223">
        <f t="shared" si="68"/>
        <v>0.39849624060150374</v>
      </c>
      <c r="N42" s="178">
        <f t="shared" si="5"/>
        <v>6.4556390977443598</v>
      </c>
      <c r="O42" s="178">
        <f t="shared" si="49"/>
        <v>1.85</v>
      </c>
      <c r="P42" s="223">
        <f t="shared" si="69"/>
        <v>1.291127819548872</v>
      </c>
      <c r="Q42" s="223">
        <f t="shared" si="70"/>
        <v>5</v>
      </c>
      <c r="R42" s="223">
        <f t="shared" si="71"/>
        <v>1.4345864661654135</v>
      </c>
      <c r="S42" s="178">
        <f t="shared" si="72"/>
        <v>35.850173506631442</v>
      </c>
      <c r="T42" s="178">
        <f t="shared" si="73"/>
        <v>5</v>
      </c>
      <c r="U42" s="223">
        <f t="shared" si="74"/>
        <v>0.42985674353598879</v>
      </c>
      <c r="V42" s="223">
        <f t="shared" si="75"/>
        <v>0.5373209294199861</v>
      </c>
      <c r="W42" s="223">
        <f t="shared" si="76"/>
        <v>0.81105045950186583</v>
      </c>
      <c r="X42" s="203">
        <f t="shared" si="77"/>
        <v>350</v>
      </c>
      <c r="Y42" s="454">
        <f t="shared" si="50"/>
        <v>350</v>
      </c>
      <c r="AA42" s="223">
        <f t="shared" si="78"/>
        <v>0.91084854994629427</v>
      </c>
      <c r="AB42" s="179">
        <f t="shared" si="79"/>
        <v>1.7185821697099894</v>
      </c>
      <c r="AC42" s="179">
        <f t="shared" si="80"/>
        <v>0.82181824055304764</v>
      </c>
      <c r="AD42" s="179"/>
      <c r="AE42" s="179">
        <f t="shared" si="81"/>
        <v>0.5660377358490567</v>
      </c>
      <c r="AF42" s="563">
        <f t="shared" si="112"/>
        <v>1452.5925925925924</v>
      </c>
      <c r="AG42" s="546">
        <f t="shared" si="82"/>
        <v>8.9150943396226423E-2</v>
      </c>
      <c r="AI42" s="179">
        <f t="shared" si="83"/>
        <v>0.6442254690917264</v>
      </c>
      <c r="AJ42" s="179">
        <f t="shared" si="84"/>
        <v>0.6442254690917264</v>
      </c>
      <c r="AK42" s="179">
        <f t="shared" si="85"/>
        <v>1.4549818289568344</v>
      </c>
      <c r="AM42" s="563">
        <f t="shared" si="86"/>
        <v>370</v>
      </c>
      <c r="AN42" s="472">
        <f t="shared" si="87"/>
        <v>350</v>
      </c>
      <c r="AP42">
        <f t="shared" si="88"/>
        <v>370</v>
      </c>
      <c r="AQ42" s="472">
        <f t="shared" si="89"/>
        <v>350</v>
      </c>
      <c r="AR42" s="472"/>
      <c r="AS42" s="6">
        <f t="shared" si="51"/>
        <v>2.8571428571428572</v>
      </c>
      <c r="AT42" s="6">
        <f t="shared" si="90"/>
        <v>0.80528183636465811</v>
      </c>
      <c r="AU42" s="6">
        <f t="shared" si="52"/>
        <v>2.0518610207781993</v>
      </c>
      <c r="AV42" s="6">
        <f t="shared" si="91"/>
        <v>1.2155197530032575</v>
      </c>
      <c r="AW42" s="179">
        <f t="shared" si="53"/>
        <v>0.28184864272763033</v>
      </c>
      <c r="AX42" s="179">
        <f t="shared" si="92"/>
        <v>2.178888888888888</v>
      </c>
      <c r="AY42" s="179">
        <f t="shared" si="93"/>
        <v>0.69397709252647855</v>
      </c>
      <c r="AZ42" s="179">
        <f t="shared" si="54"/>
        <v>3.1397129852751631</v>
      </c>
      <c r="BA42" s="472">
        <f t="shared" si="94"/>
        <v>5.9590855890984695</v>
      </c>
      <c r="BB42" s="6">
        <f t="shared" si="95"/>
        <v>0.14644841390585139</v>
      </c>
      <c r="BC42" s="6"/>
      <c r="BD42" s="179">
        <f t="shared" si="55"/>
        <v>0.19746277543313173</v>
      </c>
      <c r="BE42" s="179">
        <f t="shared" si="96"/>
        <v>0.94559792509478691</v>
      </c>
      <c r="BF42" s="179"/>
      <c r="BG42" s="546">
        <f t="shared" si="97"/>
        <v>1.3647041688614393E-2</v>
      </c>
      <c r="BH42" s="546">
        <f t="shared" si="98"/>
        <v>6.7474565068994685E-2</v>
      </c>
      <c r="BI42" s="546">
        <f t="shared" si="99"/>
        <v>4.3749999999999995E-3</v>
      </c>
      <c r="BJ42" s="546">
        <f t="shared" si="100"/>
        <v>2.7860175000000001E-2</v>
      </c>
      <c r="BK42">
        <f t="shared" si="101"/>
        <v>6.96E-3</v>
      </c>
      <c r="BL42" s="546">
        <f t="shared" si="102"/>
        <v>0.12273953079811929</v>
      </c>
      <c r="BM42" s="472">
        <f t="shared" si="56"/>
        <v>122.73953079811929</v>
      </c>
      <c r="BN42" s="546">
        <f t="shared" si="103"/>
        <v>0.14355999999999999</v>
      </c>
      <c r="BO42" s="546"/>
      <c r="BQ42" s="472">
        <f t="shared" si="57"/>
        <v>143.56</v>
      </c>
      <c r="BR42" s="546">
        <f t="shared" si="104"/>
        <v>7.7983095363510823E-3</v>
      </c>
      <c r="BS42" s="546">
        <f t="shared" si="105"/>
        <v>3.5766217437742651E-2</v>
      </c>
      <c r="BT42" s="546">
        <f t="shared" si="106"/>
        <v>3.8171114570768529E-2</v>
      </c>
      <c r="BU42" s="546">
        <f t="shared" si="107"/>
        <v>8.7267526261897418E-2</v>
      </c>
      <c r="BV42" s="546">
        <f t="shared" si="108"/>
        <v>1.4525925925925925E-2</v>
      </c>
      <c r="BW42" s="472">
        <f t="shared" si="58"/>
        <v>101.79345218782335</v>
      </c>
      <c r="BX42" s="179">
        <f t="shared" si="59"/>
        <v>0.36809298298594267</v>
      </c>
      <c r="BY42" s="6">
        <f t="shared" si="60"/>
        <v>1.85</v>
      </c>
      <c r="BZ42" s="179">
        <f t="shared" si="61"/>
        <v>0.8340497960142208</v>
      </c>
      <c r="CA42" s="6">
        <f t="shared" si="62"/>
        <v>83.404979601422085</v>
      </c>
      <c r="CD42" s="581">
        <f t="shared" si="109"/>
        <v>-50</v>
      </c>
      <c r="CE42">
        <f t="shared" si="110"/>
        <v>-50</v>
      </c>
    </row>
    <row r="43" spans="5:83" x14ac:dyDescent="0.2">
      <c r="E43" s="176">
        <v>38</v>
      </c>
      <c r="F43" s="223">
        <f t="shared" si="111"/>
        <v>0.38</v>
      </c>
      <c r="G43" s="223"/>
      <c r="H43" s="223">
        <f t="shared" si="64"/>
        <v>1.9</v>
      </c>
      <c r="I43" s="559">
        <f t="shared" si="65"/>
        <v>24</v>
      </c>
      <c r="J43" s="178">
        <f t="shared" si="66"/>
        <v>15.899999999999999</v>
      </c>
      <c r="K43" s="454">
        <f t="shared" si="67"/>
        <v>39.9</v>
      </c>
      <c r="L43" s="454"/>
      <c r="M43" s="223">
        <f t="shared" si="68"/>
        <v>0.39849624060150374</v>
      </c>
      <c r="N43" s="178">
        <f t="shared" si="5"/>
        <v>6.4556390977443598</v>
      </c>
      <c r="O43" s="178">
        <f t="shared" si="49"/>
        <v>1.9</v>
      </c>
      <c r="P43" s="223">
        <f t="shared" si="69"/>
        <v>1.291127819548872</v>
      </c>
      <c r="Q43" s="223">
        <f t="shared" si="70"/>
        <v>5</v>
      </c>
      <c r="R43" s="223">
        <f t="shared" si="71"/>
        <v>1.4345864661654135</v>
      </c>
      <c r="S43" s="178">
        <f t="shared" si="72"/>
        <v>34.700150081903097</v>
      </c>
      <c r="T43" s="178">
        <f t="shared" si="73"/>
        <v>5</v>
      </c>
      <c r="U43" s="223">
        <f t="shared" si="74"/>
        <v>0.4414744933612858</v>
      </c>
      <c r="V43" s="223">
        <f t="shared" si="75"/>
        <v>0.55184311670160735</v>
      </c>
      <c r="W43" s="223">
        <f t="shared" si="76"/>
        <v>0.83297074219110545</v>
      </c>
      <c r="X43" s="203">
        <f t="shared" si="77"/>
        <v>350</v>
      </c>
      <c r="Y43" s="454">
        <f t="shared" si="50"/>
        <v>350</v>
      </c>
      <c r="AA43" s="223">
        <f t="shared" si="78"/>
        <v>0.91084854994629427</v>
      </c>
      <c r="AB43" s="179">
        <f t="shared" si="79"/>
        <v>1.7185821697099894</v>
      </c>
      <c r="AC43" s="179">
        <f t="shared" si="80"/>
        <v>0.82181824055304764</v>
      </c>
      <c r="AD43" s="179"/>
      <c r="AE43" s="179">
        <f t="shared" si="81"/>
        <v>0.5660377358490567</v>
      </c>
      <c r="AF43" s="563">
        <f t="shared" si="112"/>
        <v>1491.8518518518517</v>
      </c>
      <c r="AG43" s="546">
        <f t="shared" si="82"/>
        <v>8.9150943396226423E-2</v>
      </c>
      <c r="AI43" s="179">
        <f t="shared" si="83"/>
        <v>0.65287317776378762</v>
      </c>
      <c r="AJ43" s="179">
        <f t="shared" si="84"/>
        <v>0.65287317776378762</v>
      </c>
      <c r="AK43" s="179">
        <f t="shared" si="85"/>
        <v>1.4613875390842872</v>
      </c>
      <c r="AM43" s="563">
        <f t="shared" si="86"/>
        <v>380</v>
      </c>
      <c r="AN43" s="472">
        <f t="shared" si="87"/>
        <v>350</v>
      </c>
      <c r="AP43">
        <f t="shared" si="88"/>
        <v>380</v>
      </c>
      <c r="AQ43" s="472">
        <f t="shared" si="89"/>
        <v>350</v>
      </c>
      <c r="AR43" s="472"/>
      <c r="AS43" s="6">
        <f t="shared" si="51"/>
        <v>2.8571428571428572</v>
      </c>
      <c r="AT43" s="6">
        <f t="shared" si="90"/>
        <v>0.81609147220473466</v>
      </c>
      <c r="AU43" s="6">
        <f t="shared" si="52"/>
        <v>2.0410513849381227</v>
      </c>
      <c r="AV43" s="6">
        <f t="shared" si="91"/>
        <v>1.2318361844599768</v>
      </c>
      <c r="AW43" s="179">
        <f t="shared" si="53"/>
        <v>0.2856320152716571</v>
      </c>
      <c r="AX43" s="179">
        <f t="shared" si="92"/>
        <v>2.2377777777777776</v>
      </c>
      <c r="AY43" s="179">
        <f t="shared" si="93"/>
        <v>0.69958754442345905</v>
      </c>
      <c r="AZ43" s="179">
        <f t="shared" si="54"/>
        <v>3.1987101480229541</v>
      </c>
      <c r="BA43" s="472">
        <f t="shared" si="94"/>
        <v>6.2022951887559827</v>
      </c>
      <c r="BB43" s="6">
        <f t="shared" si="95"/>
        <v>0.1496141061490136</v>
      </c>
      <c r="BC43" s="6"/>
      <c r="BD43" s="179">
        <f t="shared" si="55"/>
        <v>0.2014520268855704</v>
      </c>
      <c r="BE43" s="179">
        <f t="shared" si="96"/>
        <v>0.95576350971535706</v>
      </c>
      <c r="BF43" s="179"/>
      <c r="BG43" s="546">
        <f t="shared" si="97"/>
        <v>1.4204021697706602E-2</v>
      </c>
      <c r="BH43" s="546">
        <f t="shared" si="98"/>
        <v>6.8380304456034699E-2</v>
      </c>
      <c r="BI43" s="546">
        <f t="shared" si="99"/>
        <v>4.3749999999999995E-3</v>
      </c>
      <c r="BJ43" s="546">
        <f t="shared" si="100"/>
        <v>2.7860175000000001E-2</v>
      </c>
      <c r="BK43">
        <f t="shared" si="101"/>
        <v>6.96E-3</v>
      </c>
      <c r="BL43" s="546">
        <f t="shared" si="102"/>
        <v>0.12430885416473603</v>
      </c>
      <c r="BM43" s="472">
        <f t="shared" si="56"/>
        <v>124.30885416473603</v>
      </c>
      <c r="BN43" s="546">
        <f t="shared" si="103"/>
        <v>0.14744000000000002</v>
      </c>
      <c r="BO43" s="546"/>
      <c r="BQ43" s="472">
        <f t="shared" si="57"/>
        <v>147.44000000000003</v>
      </c>
      <c r="BR43" s="546">
        <f t="shared" si="104"/>
        <v>8.1165838272609162E-3</v>
      </c>
      <c r="BS43" s="546">
        <f t="shared" si="105"/>
        <v>3.6539355460136695E-2</v>
      </c>
      <c r="BT43" s="546">
        <f t="shared" si="106"/>
        <v>3.9465006795892668E-2</v>
      </c>
      <c r="BU43" s="546">
        <f t="shared" si="107"/>
        <v>8.9800468740181313E-2</v>
      </c>
      <c r="BV43" s="546">
        <f t="shared" si="108"/>
        <v>1.4918518518518517E-2</v>
      </c>
      <c r="BW43" s="472">
        <f t="shared" si="58"/>
        <v>104.71898725869983</v>
      </c>
      <c r="BX43" s="179">
        <f t="shared" si="59"/>
        <v>0.37646784142343587</v>
      </c>
      <c r="BY43" s="6">
        <f t="shared" si="60"/>
        <v>1.9</v>
      </c>
      <c r="BZ43" s="179">
        <f t="shared" si="61"/>
        <v>0.83462633006577558</v>
      </c>
      <c r="CA43" s="6">
        <f t="shared" si="62"/>
        <v>83.462633006577562</v>
      </c>
      <c r="CD43" s="581">
        <f t="shared" si="109"/>
        <v>-50</v>
      </c>
      <c r="CE43">
        <f t="shared" si="110"/>
        <v>-50</v>
      </c>
    </row>
    <row r="44" spans="5:83" x14ac:dyDescent="0.2">
      <c r="E44" s="176">
        <v>39</v>
      </c>
      <c r="F44" s="223">
        <f t="shared" si="111"/>
        <v>0.39</v>
      </c>
      <c r="G44" s="223"/>
      <c r="H44" s="223">
        <f t="shared" si="64"/>
        <v>1.9500000000000002</v>
      </c>
      <c r="I44" s="559">
        <f t="shared" si="65"/>
        <v>24</v>
      </c>
      <c r="J44" s="178">
        <f t="shared" si="66"/>
        <v>15.899999999999999</v>
      </c>
      <c r="K44" s="454">
        <f t="shared" si="67"/>
        <v>39.9</v>
      </c>
      <c r="L44" s="454"/>
      <c r="M44" s="223">
        <f t="shared" si="68"/>
        <v>0.39849624060150374</v>
      </c>
      <c r="N44" s="178">
        <f t="shared" si="5"/>
        <v>6.4556390977443598</v>
      </c>
      <c r="O44" s="178">
        <f t="shared" si="49"/>
        <v>1.9500000000000002</v>
      </c>
      <c r="P44" s="223">
        <f t="shared" si="69"/>
        <v>1.291127819548872</v>
      </c>
      <c r="Q44" s="223">
        <f t="shared" si="70"/>
        <v>5</v>
      </c>
      <c r="R44" s="223">
        <f t="shared" si="71"/>
        <v>1.4345864661654135</v>
      </c>
      <c r="S44" s="178">
        <f t="shared" si="72"/>
        <v>33.609238709855312</v>
      </c>
      <c r="T44" s="178">
        <f t="shared" si="73"/>
        <v>5</v>
      </c>
      <c r="U44" s="223">
        <f t="shared" si="74"/>
        <v>0.45309224318658281</v>
      </c>
      <c r="V44" s="223">
        <f t="shared" si="75"/>
        <v>0.5663653039832286</v>
      </c>
      <c r="W44" s="223">
        <f t="shared" si="76"/>
        <v>0.85489102488034496</v>
      </c>
      <c r="X44" s="203">
        <f t="shared" si="77"/>
        <v>350</v>
      </c>
      <c r="Y44" s="454">
        <f t="shared" si="50"/>
        <v>350</v>
      </c>
      <c r="AA44" s="223">
        <f t="shared" si="78"/>
        <v>0.91084854994629427</v>
      </c>
      <c r="AB44" s="179">
        <f t="shared" si="79"/>
        <v>1.7185821697099894</v>
      </c>
      <c r="AC44" s="179">
        <f t="shared" si="80"/>
        <v>0.82181824055304764</v>
      </c>
      <c r="AD44" s="179"/>
      <c r="AE44" s="179">
        <f t="shared" si="81"/>
        <v>0.5660377358490567</v>
      </c>
      <c r="AF44" s="563">
        <f t="shared" si="112"/>
        <v>1531.1111111111109</v>
      </c>
      <c r="AG44" s="546">
        <f t="shared" si="82"/>
        <v>8.9150943396226423E-2</v>
      </c>
      <c r="AI44" s="179">
        <f t="shared" si="83"/>
        <v>0.66140782990551106</v>
      </c>
      <c r="AJ44" s="179">
        <f t="shared" si="84"/>
        <v>0.66140782990551106</v>
      </c>
      <c r="AK44" s="179">
        <f t="shared" si="85"/>
        <v>1.4677095036337118</v>
      </c>
      <c r="AM44" s="563">
        <f t="shared" si="86"/>
        <v>390</v>
      </c>
      <c r="AN44" s="472">
        <f t="shared" si="87"/>
        <v>350</v>
      </c>
      <c r="AP44">
        <f t="shared" si="88"/>
        <v>390</v>
      </c>
      <c r="AQ44" s="472">
        <f t="shared" si="89"/>
        <v>350</v>
      </c>
      <c r="AR44" s="472"/>
      <c r="AS44" s="6">
        <f t="shared" si="51"/>
        <v>2.8571428571428572</v>
      </c>
      <c r="AT44" s="6">
        <f t="shared" si="90"/>
        <v>0.82675978738188882</v>
      </c>
      <c r="AU44" s="6">
        <f t="shared" si="52"/>
        <v>2.0303830697609682</v>
      </c>
      <c r="AV44" s="6">
        <f t="shared" si="91"/>
        <v>1.2479393017085116</v>
      </c>
      <c r="AW44" s="179">
        <f t="shared" si="53"/>
        <v>0.28936592558366109</v>
      </c>
      <c r="AX44" s="179">
        <f t="shared" si="92"/>
        <v>2.2966666666666669</v>
      </c>
      <c r="AY44" s="179">
        <f t="shared" si="93"/>
        <v>0.70502841152493323</v>
      </c>
      <c r="AZ44" s="179">
        <f t="shared" si="54"/>
        <v>3.2575519356718088</v>
      </c>
      <c r="BA44" s="472">
        <f t="shared" si="94"/>
        <v>6.448726341578733</v>
      </c>
      <c r="BB44" s="6">
        <f t="shared" si="95"/>
        <v>0.15274872631303582</v>
      </c>
      <c r="BC44" s="6"/>
      <c r="BD44" s="179">
        <f t="shared" si="55"/>
        <v>0.20541511601959173</v>
      </c>
      <c r="BE44" s="179">
        <f t="shared" si="96"/>
        <v>0.96572388568206768</v>
      </c>
      <c r="BF44" s="179"/>
      <c r="BG44" s="546">
        <f t="shared" si="97"/>
        <v>1.4768379461269816E-2</v>
      </c>
      <c r="BH44" s="546">
        <f t="shared" si="98"/>
        <v>6.9274202584728453E-2</v>
      </c>
      <c r="BI44" s="546">
        <f t="shared" si="99"/>
        <v>4.3749999999999995E-3</v>
      </c>
      <c r="BJ44" s="546">
        <f t="shared" si="100"/>
        <v>2.7860175000000001E-2</v>
      </c>
      <c r="BK44">
        <f t="shared" si="101"/>
        <v>6.96E-3</v>
      </c>
      <c r="BL44" s="546">
        <f t="shared" si="102"/>
        <v>0.12587562449241357</v>
      </c>
      <c r="BM44" s="472">
        <f t="shared" si="56"/>
        <v>125.87562449241358</v>
      </c>
      <c r="BN44" s="546">
        <f t="shared" si="103"/>
        <v>0.15132000000000001</v>
      </c>
      <c r="BO44" s="546"/>
      <c r="BQ44" s="472">
        <f t="shared" si="57"/>
        <v>151.32000000000002</v>
      </c>
      <c r="BR44" s="546">
        <f t="shared" si="104"/>
        <v>8.4390739778684668E-3</v>
      </c>
      <c r="BS44" s="546">
        <f t="shared" si="105"/>
        <v>3.7304904935074851E-2</v>
      </c>
      <c r="BT44" s="546">
        <f t="shared" si="106"/>
        <v>4.0767440398432692E-2</v>
      </c>
      <c r="BU44" s="546">
        <f t="shared" si="107"/>
        <v>9.2338611621157099E-2</v>
      </c>
      <c r="BV44" s="546">
        <f t="shared" si="108"/>
        <v>1.5311111111111112E-2</v>
      </c>
      <c r="BW44" s="472">
        <f t="shared" si="58"/>
        <v>107.6497227322682</v>
      </c>
      <c r="BX44" s="179">
        <f t="shared" si="59"/>
        <v>0.38484534722468178</v>
      </c>
      <c r="BY44" s="6">
        <f t="shared" si="60"/>
        <v>1.9500000000000002</v>
      </c>
      <c r="BZ44" s="179">
        <f t="shared" si="61"/>
        <v>0.83517308858073669</v>
      </c>
      <c r="CA44" s="6">
        <f t="shared" si="62"/>
        <v>83.517308858073676</v>
      </c>
      <c r="CD44" s="581">
        <f t="shared" si="109"/>
        <v>-50</v>
      </c>
      <c r="CE44">
        <f t="shared" si="110"/>
        <v>-50</v>
      </c>
    </row>
    <row r="45" spans="5:83" x14ac:dyDescent="0.2">
      <c r="E45" s="176">
        <v>40</v>
      </c>
      <c r="F45" s="223">
        <f t="shared" si="111"/>
        <v>0.4</v>
      </c>
      <c r="G45" s="223"/>
      <c r="H45" s="223">
        <f t="shared" si="64"/>
        <v>2</v>
      </c>
      <c r="I45" s="559">
        <f t="shared" si="65"/>
        <v>24</v>
      </c>
      <c r="J45" s="178">
        <f t="shared" si="66"/>
        <v>15.899999999999999</v>
      </c>
      <c r="K45" s="454">
        <f t="shared" si="67"/>
        <v>39.9</v>
      </c>
      <c r="L45" s="454"/>
      <c r="M45" s="223">
        <f t="shared" si="68"/>
        <v>0.39849624060150374</v>
      </c>
      <c r="N45" s="178">
        <f t="shared" si="5"/>
        <v>6.4556390977443598</v>
      </c>
      <c r="O45" s="178">
        <f t="shared" si="49"/>
        <v>2</v>
      </c>
      <c r="P45" s="223">
        <f t="shared" si="69"/>
        <v>1.291127819548872</v>
      </c>
      <c r="Q45" s="223">
        <f t="shared" si="70"/>
        <v>5</v>
      </c>
      <c r="R45" s="223">
        <f t="shared" si="71"/>
        <v>1.4345864661654135</v>
      </c>
      <c r="S45" s="178">
        <f t="shared" si="72"/>
        <v>32.573008225579201</v>
      </c>
      <c r="T45" s="178">
        <f t="shared" si="73"/>
        <v>5</v>
      </c>
      <c r="U45" s="223">
        <f t="shared" si="74"/>
        <v>0.46470999301187976</v>
      </c>
      <c r="V45" s="223">
        <f t="shared" si="75"/>
        <v>0.58088749126484973</v>
      </c>
      <c r="W45" s="223">
        <f t="shared" si="76"/>
        <v>0.87681130756958447</v>
      </c>
      <c r="X45" s="203">
        <f t="shared" si="77"/>
        <v>350</v>
      </c>
      <c r="Y45" s="454">
        <f t="shared" si="50"/>
        <v>350</v>
      </c>
      <c r="AA45" s="223">
        <f t="shared" si="78"/>
        <v>0.91084854994629427</v>
      </c>
      <c r="AB45" s="179">
        <f t="shared" si="79"/>
        <v>1.7185821697099894</v>
      </c>
      <c r="AC45" s="179">
        <f t="shared" si="80"/>
        <v>0.82181824055304764</v>
      </c>
      <c r="AD45" s="179"/>
      <c r="AE45" s="179">
        <f t="shared" si="81"/>
        <v>0.5660377358490567</v>
      </c>
      <c r="AF45" s="563">
        <f t="shared" si="112"/>
        <v>1570.3703703703702</v>
      </c>
      <c r="AG45" s="546">
        <f t="shared" si="82"/>
        <v>8.9150943396226423E-2</v>
      </c>
      <c r="AI45" s="179">
        <f t="shared" si="83"/>
        <v>0.66983374704268872</v>
      </c>
      <c r="AJ45" s="179">
        <f t="shared" si="84"/>
        <v>0.66983374704268872</v>
      </c>
      <c r="AK45" s="179">
        <f t="shared" si="85"/>
        <v>1.473950923735325</v>
      </c>
      <c r="AM45" s="563">
        <f t="shared" si="86"/>
        <v>400</v>
      </c>
      <c r="AN45" s="472">
        <f t="shared" si="87"/>
        <v>350</v>
      </c>
      <c r="AP45">
        <f t="shared" si="88"/>
        <v>400</v>
      </c>
      <c r="AQ45" s="472">
        <f t="shared" si="89"/>
        <v>350</v>
      </c>
      <c r="AR45" s="472"/>
      <c r="AS45" s="6">
        <f t="shared" si="51"/>
        <v>2.8571428571428572</v>
      </c>
      <c r="AT45" s="6">
        <f t="shared" si="90"/>
        <v>0.8372921838033609</v>
      </c>
      <c r="AU45" s="6">
        <f t="shared" si="52"/>
        <v>2.0198506733394961</v>
      </c>
      <c r="AV45" s="6">
        <f t="shared" si="91"/>
        <v>1.2638372585711108</v>
      </c>
      <c r="AW45" s="179">
        <f t="shared" si="53"/>
        <v>0.29305226433117632</v>
      </c>
      <c r="AX45" s="179">
        <f t="shared" si="92"/>
        <v>2.3555555555555556</v>
      </c>
      <c r="AY45" s="179">
        <f t="shared" si="93"/>
        <v>0.71030617611958857</v>
      </c>
      <c r="AZ45" s="179">
        <f t="shared" si="54"/>
        <v>3.3162537997684107</v>
      </c>
      <c r="BA45" s="472">
        <f t="shared" si="94"/>
        <v>6.6983374704268872</v>
      </c>
      <c r="BB45" s="6">
        <f t="shared" si="95"/>
        <v>0.15585267541199815</v>
      </c>
      <c r="BC45" s="6"/>
      <c r="BD45" s="179">
        <f t="shared" si="55"/>
        <v>0.20935287887420292</v>
      </c>
      <c r="BE45" s="179">
        <f t="shared" si="96"/>
        <v>0.97548659395990467</v>
      </c>
      <c r="BF45" s="179"/>
      <c r="BG45" s="546">
        <f t="shared" si="97"/>
        <v>1.5340019762520836E-2</v>
      </c>
      <c r="BH45" s="546">
        <f t="shared" si="98"/>
        <v>7.0156712080883601E-2</v>
      </c>
      <c r="BI45" s="546">
        <f t="shared" si="99"/>
        <v>4.3749999999999995E-3</v>
      </c>
      <c r="BJ45" s="546">
        <f t="shared" si="100"/>
        <v>2.7860175000000001E-2</v>
      </c>
      <c r="BK45">
        <f t="shared" si="101"/>
        <v>6.96E-3</v>
      </c>
      <c r="BL45" s="546">
        <f t="shared" si="102"/>
        <v>0.12744019452437605</v>
      </c>
      <c r="BM45" s="472">
        <f t="shared" si="56"/>
        <v>127.44019452437605</v>
      </c>
      <c r="BN45" s="546">
        <f t="shared" si="103"/>
        <v>0.15520000000000003</v>
      </c>
      <c r="BO45" s="546"/>
      <c r="BQ45" s="472">
        <f t="shared" si="57"/>
        <v>155.20000000000005</v>
      </c>
      <c r="BR45" s="546">
        <f t="shared" si="104"/>
        <v>8.765725578583336E-3</v>
      </c>
      <c r="BS45" s="546">
        <f t="shared" si="105"/>
        <v>3.8062963799819841E-2</v>
      </c>
      <c r="BT45" s="546">
        <f t="shared" si="106"/>
        <v>4.2078250556825132E-2</v>
      </c>
      <c r="BU45" s="546">
        <f t="shared" si="107"/>
        <v>9.4881838030298524E-2</v>
      </c>
      <c r="BV45" s="546">
        <f t="shared" si="108"/>
        <v>1.5703703703703706E-2</v>
      </c>
      <c r="BW45" s="472">
        <f t="shared" si="58"/>
        <v>110.58554173400223</v>
      </c>
      <c r="BX45" s="179">
        <f t="shared" si="59"/>
        <v>0.39322573625837831</v>
      </c>
      <c r="BY45" s="6">
        <f t="shared" si="60"/>
        <v>2</v>
      </c>
      <c r="BZ45" s="179">
        <f t="shared" si="61"/>
        <v>0.83569216630890986</v>
      </c>
      <c r="CA45" s="6">
        <f t="shared" si="62"/>
        <v>83.569216630890992</v>
      </c>
      <c r="CD45" s="581">
        <f t="shared" si="109"/>
        <v>-50</v>
      </c>
      <c r="CE45">
        <f t="shared" si="110"/>
        <v>-50</v>
      </c>
    </row>
    <row r="46" spans="5:83" x14ac:dyDescent="0.2">
      <c r="E46" s="176">
        <v>41</v>
      </c>
      <c r="F46" s="223">
        <f t="shared" si="111"/>
        <v>0.41</v>
      </c>
      <c r="G46" s="223"/>
      <c r="H46" s="223">
        <f t="shared" si="64"/>
        <v>2.0499999999999998</v>
      </c>
      <c r="I46" s="559">
        <f t="shared" si="65"/>
        <v>24</v>
      </c>
      <c r="J46" s="178">
        <f t="shared" si="66"/>
        <v>15.899999999999999</v>
      </c>
      <c r="K46" s="454">
        <f t="shared" si="67"/>
        <v>39.9</v>
      </c>
      <c r="L46" s="454"/>
      <c r="M46" s="223">
        <f t="shared" si="68"/>
        <v>0.39849624060150374</v>
      </c>
      <c r="N46" s="178">
        <f t="shared" si="5"/>
        <v>6.4556390977443598</v>
      </c>
      <c r="O46" s="178">
        <f t="shared" si="49"/>
        <v>2.0499999999999998</v>
      </c>
      <c r="P46" s="223">
        <f t="shared" si="69"/>
        <v>1.291127819548872</v>
      </c>
      <c r="Q46" s="223">
        <f t="shared" si="70"/>
        <v>5</v>
      </c>
      <c r="R46" s="223">
        <f t="shared" si="71"/>
        <v>1.4345864661654135</v>
      </c>
      <c r="S46" s="178">
        <f t="shared" si="72"/>
        <v>31.587459818908268</v>
      </c>
      <c r="T46" s="178">
        <f t="shared" si="73"/>
        <v>5</v>
      </c>
      <c r="U46" s="223">
        <f t="shared" si="74"/>
        <v>0.47632774283717672</v>
      </c>
      <c r="V46" s="223">
        <f t="shared" si="75"/>
        <v>0.59540967854647098</v>
      </c>
      <c r="W46" s="223">
        <f t="shared" si="76"/>
        <v>0.8987315902588241</v>
      </c>
      <c r="X46" s="203">
        <f t="shared" si="77"/>
        <v>350</v>
      </c>
      <c r="Y46" s="454">
        <f t="shared" si="50"/>
        <v>350</v>
      </c>
      <c r="AA46" s="223">
        <f t="shared" si="78"/>
        <v>0.91084854994629427</v>
      </c>
      <c r="AB46" s="179">
        <f t="shared" si="79"/>
        <v>1.7185821697099894</v>
      </c>
      <c r="AC46" s="179">
        <f t="shared" si="80"/>
        <v>0.82181824055304764</v>
      </c>
      <c r="AD46" s="179"/>
      <c r="AE46" s="179">
        <f t="shared" si="81"/>
        <v>0.5660377358490567</v>
      </c>
      <c r="AF46" s="563">
        <f t="shared" si="112"/>
        <v>1609.6296296296291</v>
      </c>
      <c r="AG46" s="546">
        <f t="shared" si="82"/>
        <v>8.9150943396226423E-2</v>
      </c>
      <c r="AI46" s="179">
        <f t="shared" si="83"/>
        <v>0.67815498220847703</v>
      </c>
      <c r="AJ46" s="179">
        <f t="shared" si="84"/>
        <v>0.67815498220847703</v>
      </c>
      <c r="AK46" s="179">
        <f t="shared" si="85"/>
        <v>1.4801148016359089</v>
      </c>
      <c r="AM46" s="563">
        <f t="shared" si="86"/>
        <v>410</v>
      </c>
      <c r="AN46" s="472">
        <f t="shared" si="87"/>
        <v>350</v>
      </c>
      <c r="AP46">
        <f t="shared" si="88"/>
        <v>410</v>
      </c>
      <c r="AQ46" s="472">
        <f t="shared" si="89"/>
        <v>350</v>
      </c>
      <c r="AR46" s="472"/>
      <c r="AS46" s="6">
        <f t="shared" si="51"/>
        <v>2.8571428571428572</v>
      </c>
      <c r="AT46" s="6">
        <f t="shared" si="90"/>
        <v>0.84769372776059637</v>
      </c>
      <c r="AU46" s="6">
        <f t="shared" si="52"/>
        <v>2.0094491293822609</v>
      </c>
      <c r="AV46" s="6">
        <f t="shared" si="91"/>
        <v>1.2795377022801455</v>
      </c>
      <c r="AW46" s="179">
        <f t="shared" si="53"/>
        <v>0.29669280471620874</v>
      </c>
      <c r="AX46" s="179">
        <f t="shared" si="92"/>
        <v>2.4144444444444439</v>
      </c>
      <c r="AY46" s="179">
        <f t="shared" si="93"/>
        <v>0.71542691775716005</v>
      </c>
      <c r="AZ46" s="179">
        <f t="shared" si="54"/>
        <v>3.3748303069356802</v>
      </c>
      <c r="BA46" s="472">
        <f t="shared" si="94"/>
        <v>6.951088567636889</v>
      </c>
      <c r="BB46" s="6">
        <f t="shared" si="95"/>
        <v>0.15892633932228525</v>
      </c>
      <c r="BC46" s="6"/>
      <c r="BD46" s="179">
        <f t="shared" si="55"/>
        <v>0.21326610459350612</v>
      </c>
      <c r="BE46" s="179">
        <f t="shared" si="96"/>
        <v>0.98505870757338365</v>
      </c>
      <c r="BF46" s="179"/>
      <c r="BG46" s="546">
        <f t="shared" si="97"/>
        <v>1.5918850978970903E-2</v>
      </c>
      <c r="BH46" s="546">
        <f t="shared" si="98"/>
        <v>7.1028257449060356E-2</v>
      </c>
      <c r="BI46" s="546">
        <f t="shared" si="99"/>
        <v>4.3749999999999995E-3</v>
      </c>
      <c r="BJ46" s="546">
        <f t="shared" si="100"/>
        <v>2.7860175000000001E-2</v>
      </c>
      <c r="BK46">
        <f t="shared" si="101"/>
        <v>6.96E-3</v>
      </c>
      <c r="BL46" s="546">
        <f t="shared" si="102"/>
        <v>0.12900289302827805</v>
      </c>
      <c r="BM46" s="472">
        <f t="shared" si="56"/>
        <v>129.00289302827807</v>
      </c>
      <c r="BN46" s="546">
        <f t="shared" si="103"/>
        <v>0.15908</v>
      </c>
      <c r="BO46" s="546"/>
      <c r="BQ46" s="472">
        <f t="shared" si="57"/>
        <v>159.08000000000001</v>
      </c>
      <c r="BR46" s="546">
        <f t="shared" si="104"/>
        <v>9.0964862736976591E-3</v>
      </c>
      <c r="BS46" s="546">
        <f t="shared" si="105"/>
        <v>3.8813626294645798E-2</v>
      </c>
      <c r="BT46" s="546">
        <f t="shared" si="106"/>
        <v>4.3397279685455439E-2</v>
      </c>
      <c r="BU46" s="546">
        <f t="shared" si="107"/>
        <v>9.7430036483236088E-2</v>
      </c>
      <c r="BV46" s="546">
        <f t="shared" si="108"/>
        <v>1.6096296296296293E-2</v>
      </c>
      <c r="BW46" s="472">
        <f t="shared" si="58"/>
        <v>113.52633277953238</v>
      </c>
      <c r="BX46" s="179">
        <f t="shared" si="59"/>
        <v>0.40160922580781044</v>
      </c>
      <c r="BY46" s="6">
        <f t="shared" si="60"/>
        <v>2.0499999999999998</v>
      </c>
      <c r="BZ46" s="179">
        <f t="shared" si="61"/>
        <v>0.83618546480404954</v>
      </c>
      <c r="CA46" s="6">
        <f t="shared" si="62"/>
        <v>83.618546480404959</v>
      </c>
      <c r="CD46" s="581">
        <f t="shared" si="109"/>
        <v>-50</v>
      </c>
      <c r="CE46">
        <f t="shared" si="110"/>
        <v>-50</v>
      </c>
    </row>
    <row r="47" spans="5:83" x14ac:dyDescent="0.2">
      <c r="E47" s="176">
        <v>42</v>
      </c>
      <c r="F47" s="223">
        <f t="shared" si="111"/>
        <v>0.42</v>
      </c>
      <c r="G47" s="223"/>
      <c r="H47" s="223">
        <f t="shared" si="64"/>
        <v>2.1</v>
      </c>
      <c r="I47" s="559">
        <f t="shared" si="65"/>
        <v>24</v>
      </c>
      <c r="J47" s="178">
        <f t="shared" si="66"/>
        <v>15.899999999999999</v>
      </c>
      <c r="K47" s="454">
        <f t="shared" si="67"/>
        <v>39.9</v>
      </c>
      <c r="L47" s="454"/>
      <c r="M47" s="223">
        <f t="shared" si="68"/>
        <v>0.39849624060150374</v>
      </c>
      <c r="N47" s="178">
        <f t="shared" si="5"/>
        <v>6.4556390977443598</v>
      </c>
      <c r="O47" s="178">
        <f t="shared" si="49"/>
        <v>2.1</v>
      </c>
      <c r="P47" s="223">
        <f t="shared" si="69"/>
        <v>1.291127819548872</v>
      </c>
      <c r="Q47" s="223">
        <f t="shared" si="70"/>
        <v>5</v>
      </c>
      <c r="R47" s="223">
        <f t="shared" si="71"/>
        <v>1.4345864661654135</v>
      </c>
      <c r="S47" s="178">
        <f t="shared" si="72"/>
        <v>30.648975564704081</v>
      </c>
      <c r="T47" s="178">
        <f t="shared" si="73"/>
        <v>5</v>
      </c>
      <c r="U47" s="223">
        <f t="shared" si="74"/>
        <v>0.48794549266247378</v>
      </c>
      <c r="V47" s="223">
        <f t="shared" si="75"/>
        <v>0.60993186582809233</v>
      </c>
      <c r="W47" s="223">
        <f t="shared" si="76"/>
        <v>0.92065187294806394</v>
      </c>
      <c r="X47" s="203">
        <f t="shared" si="77"/>
        <v>350</v>
      </c>
      <c r="Y47" s="454">
        <f t="shared" si="50"/>
        <v>350</v>
      </c>
      <c r="AA47" s="223">
        <f t="shared" si="78"/>
        <v>0.91084854994629427</v>
      </c>
      <c r="AB47" s="179">
        <f t="shared" si="79"/>
        <v>1.7185821697099894</v>
      </c>
      <c r="AC47" s="179">
        <f t="shared" si="80"/>
        <v>0.82181824055304764</v>
      </c>
      <c r="AD47" s="179"/>
      <c r="AE47" s="179">
        <f t="shared" si="81"/>
        <v>0.5660377358490567</v>
      </c>
      <c r="AF47" s="563">
        <f t="shared" si="112"/>
        <v>1648.8888888888885</v>
      </c>
      <c r="AG47" s="546">
        <f t="shared" si="82"/>
        <v>8.9150943396226423E-2</v>
      </c>
      <c r="AI47" s="179">
        <f t="shared" si="83"/>
        <v>0.68637534273246659</v>
      </c>
      <c r="AJ47" s="179">
        <f t="shared" si="84"/>
        <v>0.68637534273246659</v>
      </c>
      <c r="AK47" s="179">
        <f t="shared" si="85"/>
        <v>1.4862039575796049</v>
      </c>
      <c r="AM47" s="563">
        <f t="shared" si="86"/>
        <v>420</v>
      </c>
      <c r="AN47" s="472">
        <f t="shared" si="87"/>
        <v>350</v>
      </c>
      <c r="AP47">
        <f t="shared" si="88"/>
        <v>420</v>
      </c>
      <c r="AQ47" s="472">
        <f t="shared" si="89"/>
        <v>350</v>
      </c>
      <c r="AR47" s="472"/>
      <c r="AS47" s="6">
        <f t="shared" si="51"/>
        <v>2.8571428571428572</v>
      </c>
      <c r="AT47" s="6">
        <f t="shared" si="90"/>
        <v>0.8579691784155834</v>
      </c>
      <c r="AU47" s="6">
        <f t="shared" si="52"/>
        <v>1.9991736787272738</v>
      </c>
      <c r="AV47" s="6">
        <f t="shared" si="91"/>
        <v>1.2950478164763524</v>
      </c>
      <c r="AW47" s="179">
        <f t="shared" si="53"/>
        <v>0.3002892124454542</v>
      </c>
      <c r="AX47" s="179">
        <f t="shared" si="92"/>
        <v>2.4733333333333327</v>
      </c>
      <c r="AY47" s="179">
        <f t="shared" si="93"/>
        <v>0.7203963474320334</v>
      </c>
      <c r="AZ47" s="179">
        <f t="shared" si="54"/>
        <v>3.4332952160986383</v>
      </c>
      <c r="BA47" s="472">
        <f t="shared" si="94"/>
        <v>7.2069410986908995</v>
      </c>
      <c r="BB47" s="6">
        <f t="shared" si="95"/>
        <v>0.1619700897117004</v>
      </c>
      <c r="BC47" s="6"/>
      <c r="BD47" s="179">
        <f t="shared" si="55"/>
        <v>0.21715553913409499</v>
      </c>
      <c r="BE47" s="179">
        <f t="shared" si="96"/>
        <v>0.99444687125243547</v>
      </c>
      <c r="BF47" s="179"/>
      <c r="BG47" s="546">
        <f t="shared" si="97"/>
        <v>1.650478486181681E-2</v>
      </c>
      <c r="BH47" s="546">
        <f t="shared" si="98"/>
        <v>7.1889237459441702E-2</v>
      </c>
      <c r="BI47" s="546">
        <f t="shared" si="99"/>
        <v>4.3749999999999995E-3</v>
      </c>
      <c r="BJ47" s="546">
        <f t="shared" si="100"/>
        <v>2.7860175000000001E-2</v>
      </c>
      <c r="BK47">
        <f t="shared" si="101"/>
        <v>6.96E-3</v>
      </c>
      <c r="BL47" s="546">
        <f t="shared" si="102"/>
        <v>0.13056402692979976</v>
      </c>
      <c r="BM47" s="472">
        <f t="shared" si="56"/>
        <v>130.56402692979975</v>
      </c>
      <c r="BN47" s="546">
        <f t="shared" si="103"/>
        <v>0.16295999999999999</v>
      </c>
      <c r="BO47" s="546"/>
      <c r="BQ47" s="472">
        <f t="shared" si="57"/>
        <v>162.95999999999998</v>
      </c>
      <c r="BR47" s="546">
        <f t="shared" si="104"/>
        <v>9.4313056353238934E-3</v>
      </c>
      <c r="BS47" s="546">
        <f t="shared" si="105"/>
        <v>3.9556983189750324E-2</v>
      </c>
      <c r="BT47" s="546">
        <f t="shared" si="106"/>
        <v>4.4724376947623448E-2</v>
      </c>
      <c r="BU47" s="546">
        <f t="shared" si="107"/>
        <v>9.9983100512147816E-2</v>
      </c>
      <c r="BV47" s="546">
        <f t="shared" si="108"/>
        <v>1.648888888888889E-2</v>
      </c>
      <c r="BW47" s="472">
        <f t="shared" si="58"/>
        <v>116.47198940103671</v>
      </c>
      <c r="BX47" s="179">
        <f t="shared" si="59"/>
        <v>0.40999601633083643</v>
      </c>
      <c r="BY47" s="6">
        <f t="shared" si="60"/>
        <v>2.1</v>
      </c>
      <c r="BZ47" s="179">
        <f t="shared" si="61"/>
        <v>0.83665471432493477</v>
      </c>
      <c r="CA47" s="6">
        <f t="shared" si="62"/>
        <v>83.665471432493476</v>
      </c>
      <c r="CD47" s="581">
        <f t="shared" si="109"/>
        <v>-50</v>
      </c>
      <c r="CE47">
        <f t="shared" si="110"/>
        <v>-50</v>
      </c>
    </row>
    <row r="48" spans="5:83" x14ac:dyDescent="0.2">
      <c r="E48" s="176">
        <v>43</v>
      </c>
      <c r="F48" s="223">
        <f t="shared" si="111"/>
        <v>0.43</v>
      </c>
      <c r="G48" s="223"/>
      <c r="H48" s="223">
        <f t="shared" si="64"/>
        <v>2.15</v>
      </c>
      <c r="I48" s="559">
        <f t="shared" si="65"/>
        <v>24</v>
      </c>
      <c r="J48" s="178">
        <f t="shared" si="66"/>
        <v>15.899999999999999</v>
      </c>
      <c r="K48" s="454">
        <f t="shared" si="67"/>
        <v>39.9</v>
      </c>
      <c r="L48" s="454"/>
      <c r="M48" s="223">
        <f t="shared" si="68"/>
        <v>0.39849624060150374</v>
      </c>
      <c r="N48" s="178">
        <f t="shared" si="5"/>
        <v>6.4556390977443598</v>
      </c>
      <c r="O48" s="178">
        <f t="shared" si="49"/>
        <v>2.15</v>
      </c>
      <c r="P48" s="223">
        <f t="shared" si="69"/>
        <v>1.291127819548872</v>
      </c>
      <c r="Q48" s="223">
        <f t="shared" si="70"/>
        <v>5</v>
      </c>
      <c r="R48" s="223">
        <f t="shared" si="71"/>
        <v>1.4345864661654135</v>
      </c>
      <c r="S48" s="178">
        <f t="shared" si="72"/>
        <v>29.754274134990059</v>
      </c>
      <c r="T48" s="178">
        <f t="shared" si="73"/>
        <v>5</v>
      </c>
      <c r="U48" s="223">
        <f t="shared" si="74"/>
        <v>0.49956324248777073</v>
      </c>
      <c r="V48" s="223">
        <f t="shared" si="75"/>
        <v>0.62445405310971347</v>
      </c>
      <c r="W48" s="223">
        <f t="shared" si="76"/>
        <v>0.94257215563730334</v>
      </c>
      <c r="X48" s="203">
        <f t="shared" si="77"/>
        <v>350</v>
      </c>
      <c r="Y48" s="454">
        <f t="shared" si="50"/>
        <v>350</v>
      </c>
      <c r="AA48" s="223">
        <f t="shared" si="78"/>
        <v>0.91084854994629427</v>
      </c>
      <c r="AB48" s="179">
        <f t="shared" si="79"/>
        <v>1.7185821697099894</v>
      </c>
      <c r="AC48" s="179">
        <f t="shared" si="80"/>
        <v>0.82181824055304764</v>
      </c>
      <c r="AD48" s="179"/>
      <c r="AE48" s="179">
        <f t="shared" si="81"/>
        <v>0.5660377358490567</v>
      </c>
      <c r="AF48" s="563">
        <f t="shared" si="112"/>
        <v>1688.1481481481478</v>
      </c>
      <c r="AG48" s="546">
        <f t="shared" si="82"/>
        <v>8.9150943396226423E-2</v>
      </c>
      <c r="AI48" s="179">
        <f t="shared" si="83"/>
        <v>0.6944984106015234</v>
      </c>
      <c r="AJ48" s="179">
        <f t="shared" si="84"/>
        <v>0.6944984106015234</v>
      </c>
      <c r="AK48" s="179">
        <f t="shared" si="85"/>
        <v>1.4922210448900173</v>
      </c>
      <c r="AM48" s="563">
        <f t="shared" si="86"/>
        <v>430</v>
      </c>
      <c r="AN48" s="472">
        <f t="shared" si="87"/>
        <v>350</v>
      </c>
      <c r="AP48">
        <f t="shared" si="88"/>
        <v>430</v>
      </c>
      <c r="AQ48" s="472">
        <f t="shared" si="89"/>
        <v>350</v>
      </c>
      <c r="AR48" s="472"/>
      <c r="AS48" s="6">
        <f t="shared" si="51"/>
        <v>2.8571428571428572</v>
      </c>
      <c r="AT48" s="6">
        <f t="shared" si="90"/>
        <v>0.86812301325190422</v>
      </c>
      <c r="AU48" s="6">
        <f t="shared" si="52"/>
        <v>1.989019843890953</v>
      </c>
      <c r="AV48" s="6">
        <f t="shared" si="91"/>
        <v>1.310374359625516</v>
      </c>
      <c r="AW48" s="179">
        <f t="shared" si="53"/>
        <v>0.30384305463816647</v>
      </c>
      <c r="AX48" s="179">
        <f t="shared" si="92"/>
        <v>2.5322222222222215</v>
      </c>
      <c r="AY48" s="179">
        <f t="shared" si="93"/>
        <v>0.72521983812450741</v>
      </c>
      <c r="AZ48" s="179">
        <f t="shared" si="54"/>
        <v>3.4916615474430577</v>
      </c>
      <c r="BA48" s="472">
        <f t="shared" si="94"/>
        <v>7.4658579139663761</v>
      </c>
      <c r="BB48" s="6">
        <f t="shared" si="95"/>
        <v>0.16498428489064615</v>
      </c>
      <c r="BC48" s="6"/>
      <c r="BD48" s="179">
        <f t="shared" si="55"/>
        <v>0.22102188859824057</v>
      </c>
      <c r="BE48" s="179">
        <f t="shared" si="96"/>
        <v>1.0036573368577191</v>
      </c>
      <c r="BF48" s="179"/>
      <c r="BG48" s="546">
        <f t="shared" si="97"/>
        <v>1.7097736333836572E-2</v>
      </c>
      <c r="BH48" s="546">
        <f t="shared" si="98"/>
        <v>7.2740027280377054E-2</v>
      </c>
      <c r="BI48" s="546">
        <f t="shared" si="99"/>
        <v>4.3749999999999995E-3</v>
      </c>
      <c r="BJ48" s="546">
        <f t="shared" si="100"/>
        <v>2.7860175000000001E-2</v>
      </c>
      <c r="BK48">
        <f t="shared" si="101"/>
        <v>6.96E-3</v>
      </c>
      <c r="BL48" s="546">
        <f t="shared" si="102"/>
        <v>0.13212388321317003</v>
      </c>
      <c r="BM48" s="472">
        <f t="shared" si="56"/>
        <v>132.12388321317005</v>
      </c>
      <c r="BN48" s="546">
        <f t="shared" si="103"/>
        <v>0.16684000000000002</v>
      </c>
      <c r="BO48" s="546"/>
      <c r="BQ48" s="472">
        <f t="shared" si="57"/>
        <v>166.84</v>
      </c>
      <c r="BR48" s="546">
        <f t="shared" si="104"/>
        <v>9.7701350479066137E-3</v>
      </c>
      <c r="BS48" s="546">
        <f t="shared" si="105"/>
        <v>4.029312199313316E-2</v>
      </c>
      <c r="BT48" s="546">
        <f t="shared" si="106"/>
        <v>4.6059397812147088E-2</v>
      </c>
      <c r="BU48" s="546">
        <f t="shared" si="107"/>
        <v>0.10254092832627364</v>
      </c>
      <c r="BV48" s="546">
        <f t="shared" si="108"/>
        <v>1.6881481481481476E-2</v>
      </c>
      <c r="BW48" s="472">
        <f t="shared" si="58"/>
        <v>119.42240980775512</v>
      </c>
      <c r="BX48" s="179">
        <f t="shared" si="59"/>
        <v>0.41838629302092517</v>
      </c>
      <c r="BY48" s="6">
        <f t="shared" si="60"/>
        <v>2.15</v>
      </c>
      <c r="BZ48" s="179">
        <f t="shared" si="61"/>
        <v>0.83710149280978252</v>
      </c>
      <c r="CA48" s="6">
        <f t="shared" si="62"/>
        <v>83.710149280978257</v>
      </c>
      <c r="CD48" s="581">
        <f t="shared" si="109"/>
        <v>-50</v>
      </c>
      <c r="CE48">
        <f t="shared" si="110"/>
        <v>-50</v>
      </c>
    </row>
    <row r="49" spans="5:83" x14ac:dyDescent="0.2">
      <c r="E49" s="176">
        <v>44</v>
      </c>
      <c r="F49" s="223">
        <f t="shared" si="111"/>
        <v>0.44</v>
      </c>
      <c r="G49" s="223"/>
      <c r="H49" s="223">
        <f t="shared" si="64"/>
        <v>2.2000000000000002</v>
      </c>
      <c r="I49" s="559">
        <f t="shared" si="65"/>
        <v>24</v>
      </c>
      <c r="J49" s="178">
        <f t="shared" si="66"/>
        <v>15.899999999999999</v>
      </c>
      <c r="K49" s="454">
        <f t="shared" si="67"/>
        <v>39.9</v>
      </c>
      <c r="L49" s="454"/>
      <c r="M49" s="223">
        <f t="shared" si="68"/>
        <v>0.39849624060150374</v>
      </c>
      <c r="N49" s="178">
        <f t="shared" si="5"/>
        <v>6.4556390977443598</v>
      </c>
      <c r="O49" s="178">
        <f t="shared" si="49"/>
        <v>2.2000000000000002</v>
      </c>
      <c r="P49" s="223">
        <f t="shared" si="69"/>
        <v>1.291127819548872</v>
      </c>
      <c r="Q49" s="223">
        <f t="shared" si="70"/>
        <v>5</v>
      </c>
      <c r="R49" s="223">
        <f t="shared" si="71"/>
        <v>1.4345864661654135</v>
      </c>
      <c r="S49" s="178">
        <f t="shared" si="72"/>
        <v>28.90037255036718</v>
      </c>
      <c r="T49" s="178">
        <f t="shared" si="73"/>
        <v>5</v>
      </c>
      <c r="U49" s="223">
        <f t="shared" si="74"/>
        <v>0.51118099231306779</v>
      </c>
      <c r="V49" s="223">
        <f t="shared" si="75"/>
        <v>0.63897624039133472</v>
      </c>
      <c r="W49" s="223">
        <f t="shared" si="76"/>
        <v>0.96449243832654319</v>
      </c>
      <c r="X49" s="203">
        <f t="shared" si="77"/>
        <v>350</v>
      </c>
      <c r="Y49" s="454">
        <f t="shared" si="50"/>
        <v>350</v>
      </c>
      <c r="AA49" s="223">
        <f t="shared" si="78"/>
        <v>0.91084854994629427</v>
      </c>
      <c r="AB49" s="179">
        <f t="shared" si="79"/>
        <v>1.7185821697099894</v>
      </c>
      <c r="AC49" s="179">
        <f t="shared" si="80"/>
        <v>0.82181824055304764</v>
      </c>
      <c r="AD49" s="179"/>
      <c r="AE49" s="179">
        <f t="shared" si="81"/>
        <v>0.5660377358490567</v>
      </c>
      <c r="AF49" s="563">
        <f t="shared" si="112"/>
        <v>1727.4074074074072</v>
      </c>
      <c r="AG49" s="546">
        <f t="shared" si="82"/>
        <v>8.9150943396226423E-2</v>
      </c>
      <c r="AI49" s="179">
        <f t="shared" si="83"/>
        <v>0.70252756070133893</v>
      </c>
      <c r="AJ49" s="179">
        <f t="shared" si="84"/>
        <v>0.70252756070133893</v>
      </c>
      <c r="AK49" s="179">
        <f t="shared" si="85"/>
        <v>1.4981685634824733</v>
      </c>
      <c r="AM49" s="563">
        <f t="shared" si="86"/>
        <v>440</v>
      </c>
      <c r="AN49" s="472">
        <f t="shared" si="87"/>
        <v>350</v>
      </c>
      <c r="AP49">
        <f t="shared" si="88"/>
        <v>440</v>
      </c>
      <c r="AQ49" s="472">
        <f t="shared" si="89"/>
        <v>350</v>
      </c>
      <c r="AR49" s="472"/>
      <c r="AS49" s="6">
        <f t="shared" si="51"/>
        <v>2.8571428571428572</v>
      </c>
      <c r="AT49" s="6">
        <f t="shared" si="90"/>
        <v>0.87815945087667369</v>
      </c>
      <c r="AU49" s="6">
        <f t="shared" si="52"/>
        <v>1.9789834062661835</v>
      </c>
      <c r="AV49" s="6">
        <f t="shared" si="91"/>
        <v>1.3255236994364887</v>
      </c>
      <c r="AW49" s="179">
        <f t="shared" si="53"/>
        <v>0.3073558078068358</v>
      </c>
      <c r="AX49" s="179">
        <f t="shared" si="92"/>
        <v>2.5911111111111107</v>
      </c>
      <c r="AY49" s="179">
        <f t="shared" si="93"/>
        <v>0.72990245216311955</v>
      </c>
      <c r="AZ49" s="179">
        <f t="shared" si="54"/>
        <v>3.5499416441637681</v>
      </c>
      <c r="BA49" s="472">
        <f t="shared" si="94"/>
        <v>7.7278031677147281</v>
      </c>
      <c r="BB49" s="6">
        <f t="shared" si="95"/>
        <v>0.16796927059358038</v>
      </c>
      <c r="BC49" s="6"/>
      <c r="BD49" s="179">
        <f t="shared" si="55"/>
        <v>0.22486582223844712</v>
      </c>
      <c r="BE49" s="179">
        <f t="shared" si="96"/>
        <v>1.0126959951220129</v>
      </c>
      <c r="BF49" s="179"/>
      <c r="BG49" s="546">
        <f t="shared" si="97"/>
        <v>1.7697623303840514E-2</v>
      </c>
      <c r="BH49" s="546">
        <f t="shared" si="98"/>
        <v>7.3580980388956468E-2</v>
      </c>
      <c r="BI49" s="546">
        <f t="shared" si="99"/>
        <v>4.3749999999999995E-3</v>
      </c>
      <c r="BJ49" s="546">
        <f t="shared" si="100"/>
        <v>2.7860175000000001E-2</v>
      </c>
      <c r="BK49">
        <f t="shared" si="101"/>
        <v>6.96E-3</v>
      </c>
      <c r="BL49" s="546">
        <f t="shared" si="102"/>
        <v>0.13368273061873667</v>
      </c>
      <c r="BM49" s="472">
        <f t="shared" si="56"/>
        <v>133.68273061873668</v>
      </c>
      <c r="BN49" s="546">
        <f t="shared" si="103"/>
        <v>0.17072000000000001</v>
      </c>
      <c r="BO49" s="546"/>
      <c r="BQ49" s="472">
        <f t="shared" si="57"/>
        <v>170.72</v>
      </c>
      <c r="BR49" s="546">
        <f t="shared" si="104"/>
        <v>1.011292760219458E-2</v>
      </c>
      <c r="BS49" s="546">
        <f t="shared" si="105"/>
        <v>4.1022127141446561E-2</v>
      </c>
      <c r="BT49" s="546">
        <f t="shared" si="106"/>
        <v>4.7402203648766766E-2</v>
      </c>
      <c r="BU49" s="546">
        <f t="shared" si="107"/>
        <v>0.10510342250271848</v>
      </c>
      <c r="BV49" s="546">
        <f t="shared" si="108"/>
        <v>1.727407407407407E-2</v>
      </c>
      <c r="BW49" s="472">
        <f t="shared" si="58"/>
        <v>122.37749657679255</v>
      </c>
      <c r="BX49" s="179">
        <f t="shared" si="59"/>
        <v>0.42678022719552922</v>
      </c>
      <c r="BY49" s="6">
        <f t="shared" si="60"/>
        <v>2.2000000000000002</v>
      </c>
      <c r="BZ49" s="179">
        <f t="shared" si="61"/>
        <v>0.83752724237186027</v>
      </c>
      <c r="CA49" s="6">
        <f t="shared" si="62"/>
        <v>83.75272423718603</v>
      </c>
      <c r="CD49" s="581">
        <f t="shared" si="109"/>
        <v>-50</v>
      </c>
      <c r="CE49">
        <f t="shared" si="110"/>
        <v>-50</v>
      </c>
    </row>
    <row r="50" spans="5:83" x14ac:dyDescent="0.2">
      <c r="E50" s="176">
        <v>45</v>
      </c>
      <c r="F50" s="223">
        <f t="shared" si="111"/>
        <v>0.45</v>
      </c>
      <c r="G50" s="223"/>
      <c r="H50" s="223">
        <f t="shared" si="64"/>
        <v>2.25</v>
      </c>
      <c r="I50" s="559">
        <f t="shared" si="65"/>
        <v>24</v>
      </c>
      <c r="J50" s="178">
        <f t="shared" si="66"/>
        <v>15.899999999999999</v>
      </c>
      <c r="K50" s="454">
        <f t="shared" si="67"/>
        <v>39.9</v>
      </c>
      <c r="L50" s="454"/>
      <c r="M50" s="223">
        <f t="shared" si="68"/>
        <v>0.39849624060150374</v>
      </c>
      <c r="N50" s="178">
        <f t="shared" si="5"/>
        <v>6.4556390977443598</v>
      </c>
      <c r="O50" s="178">
        <f t="shared" si="49"/>
        <v>2.25</v>
      </c>
      <c r="P50" s="223">
        <f t="shared" si="69"/>
        <v>1.291127819548872</v>
      </c>
      <c r="Q50" s="223">
        <f t="shared" si="70"/>
        <v>5</v>
      </c>
      <c r="R50" s="223">
        <f t="shared" si="71"/>
        <v>1.4345864661654135</v>
      </c>
      <c r="S50" s="178">
        <f t="shared" si="72"/>
        <v>28.084553031268669</v>
      </c>
      <c r="T50" s="178">
        <f t="shared" si="73"/>
        <v>5</v>
      </c>
      <c r="U50" s="223">
        <f t="shared" si="74"/>
        <v>0.52279874213836475</v>
      </c>
      <c r="V50" s="223">
        <f t="shared" si="75"/>
        <v>0.65349842767295585</v>
      </c>
      <c r="W50" s="223">
        <f t="shared" si="76"/>
        <v>0.98641272101578259</v>
      </c>
      <c r="X50" s="203">
        <f t="shared" si="77"/>
        <v>350</v>
      </c>
      <c r="Y50" s="454">
        <f t="shared" si="50"/>
        <v>350</v>
      </c>
      <c r="AA50" s="223">
        <f t="shared" si="78"/>
        <v>0.91084854994629427</v>
      </c>
      <c r="AB50" s="179">
        <f t="shared" si="79"/>
        <v>1.7185821697099894</v>
      </c>
      <c r="AC50" s="179">
        <f t="shared" si="80"/>
        <v>0.82181824055304764</v>
      </c>
      <c r="AD50" s="179"/>
      <c r="AE50" s="179">
        <f t="shared" si="81"/>
        <v>0.5660377358490567</v>
      </c>
      <c r="AF50" s="563">
        <f t="shared" si="112"/>
        <v>1766.6666666666663</v>
      </c>
      <c r="AG50" s="546">
        <f t="shared" si="82"/>
        <v>8.9150943396226423E-2</v>
      </c>
      <c r="AI50" s="179">
        <f t="shared" si="83"/>
        <v>0.7104659772022196</v>
      </c>
      <c r="AJ50" s="179">
        <f t="shared" si="84"/>
        <v>0.7104659772022196</v>
      </c>
      <c r="AK50" s="179">
        <f t="shared" si="85"/>
        <v>1.5040488720016441</v>
      </c>
      <c r="AM50" s="563">
        <f t="shared" si="86"/>
        <v>450</v>
      </c>
      <c r="AN50" s="472">
        <f t="shared" si="87"/>
        <v>350</v>
      </c>
      <c r="AP50">
        <f t="shared" si="88"/>
        <v>450</v>
      </c>
      <c r="AQ50" s="472">
        <f t="shared" si="89"/>
        <v>350</v>
      </c>
      <c r="AR50" s="472"/>
      <c r="AS50" s="6">
        <f t="shared" si="51"/>
        <v>2.8571428571428572</v>
      </c>
      <c r="AT50" s="6">
        <f t="shared" si="90"/>
        <v>0.88808247150277453</v>
      </c>
      <c r="AU50" s="6">
        <f t="shared" si="52"/>
        <v>1.9690603856400828</v>
      </c>
      <c r="AV50" s="6">
        <f t="shared" si="91"/>
        <v>1.3405018437777731</v>
      </c>
      <c r="AW50" s="179">
        <f t="shared" si="53"/>
        <v>0.31082886502597107</v>
      </c>
      <c r="AX50" s="179">
        <f t="shared" si="92"/>
        <v>2.6500000000000004</v>
      </c>
      <c r="AY50" s="179">
        <f t="shared" si="93"/>
        <v>0.7344489658033293</v>
      </c>
      <c r="AZ50" s="179">
        <f t="shared" si="54"/>
        <v>3.6081472279036704</v>
      </c>
      <c r="BA50" s="472">
        <f t="shared" si="94"/>
        <v>7.9927422435249698</v>
      </c>
      <c r="BB50" s="6">
        <f t="shared" si="95"/>
        <v>0.17092538069792385</v>
      </c>
      <c r="BC50" s="6"/>
      <c r="BD50" s="179">
        <f t="shared" si="55"/>
        <v>0.22868797517249725</v>
      </c>
      <c r="BE50" s="179">
        <f t="shared" si="96"/>
        <v>1.0215684041654987</v>
      </c>
      <c r="BF50" s="179"/>
      <c r="BG50" s="546">
        <f t="shared" si="97"/>
        <v>1.8304366495973851E-2</v>
      </c>
      <c r="BH50" s="546">
        <f t="shared" si="98"/>
        <v>7.441243028721746E-2</v>
      </c>
      <c r="BI50" s="546">
        <f t="shared" si="99"/>
        <v>4.3749999999999995E-3</v>
      </c>
      <c r="BJ50" s="546">
        <f t="shared" si="100"/>
        <v>2.7860175000000001E-2</v>
      </c>
      <c r="BK50">
        <f t="shared" si="101"/>
        <v>6.96E-3</v>
      </c>
      <c r="BL50" s="546">
        <f t="shared" si="102"/>
        <v>0.13524082116322839</v>
      </c>
      <c r="BM50" s="472">
        <f t="shared" si="56"/>
        <v>135.24082116322839</v>
      </c>
      <c r="BN50" s="546">
        <f t="shared" si="103"/>
        <v>0.17460000000000001</v>
      </c>
      <c r="BO50" s="546"/>
      <c r="BQ50" s="472">
        <f t="shared" si="57"/>
        <v>174.6</v>
      </c>
      <c r="BR50" s="546">
        <f t="shared" si="104"/>
        <v>1.0459637997699346E-2</v>
      </c>
      <c r="BS50" s="546">
        <f t="shared" si="105"/>
        <v>4.1744080175569742E-2</v>
      </c>
      <c r="BT50" s="546">
        <f t="shared" si="106"/>
        <v>4.8752661358147382E-2</v>
      </c>
      <c r="BU50" s="546">
        <f t="shared" si="107"/>
        <v>0.10767048970421651</v>
      </c>
      <c r="BV50" s="546">
        <f t="shared" si="108"/>
        <v>1.7666666666666671E-2</v>
      </c>
      <c r="BW50" s="472">
        <f t="shared" si="58"/>
        <v>125.33715637088319</v>
      </c>
      <c r="BX50" s="179">
        <f t="shared" si="59"/>
        <v>0.43517797753411158</v>
      </c>
      <c r="BY50" s="6">
        <f t="shared" si="60"/>
        <v>2.25</v>
      </c>
      <c r="BZ50" s="179">
        <f t="shared" si="61"/>
        <v>0.83793328368730691</v>
      </c>
      <c r="CA50" s="6">
        <f t="shared" si="62"/>
        <v>83.793328368730684</v>
      </c>
      <c r="CD50" s="581">
        <f t="shared" si="109"/>
        <v>-50</v>
      </c>
      <c r="CE50">
        <f t="shared" si="110"/>
        <v>-50</v>
      </c>
    </row>
    <row r="51" spans="5:83" x14ac:dyDescent="0.2">
      <c r="E51" s="176">
        <v>46</v>
      </c>
      <c r="F51" s="223">
        <f t="shared" si="111"/>
        <v>0.46</v>
      </c>
      <c r="G51" s="223"/>
      <c r="H51" s="223">
        <f t="shared" si="64"/>
        <v>2.3000000000000003</v>
      </c>
      <c r="I51" s="559">
        <f t="shared" si="65"/>
        <v>24</v>
      </c>
      <c r="J51" s="178">
        <f t="shared" si="66"/>
        <v>15.899999999999999</v>
      </c>
      <c r="K51" s="454">
        <f t="shared" si="67"/>
        <v>39.9</v>
      </c>
      <c r="L51" s="454"/>
      <c r="M51" s="223">
        <f t="shared" si="68"/>
        <v>0.39849624060150374</v>
      </c>
      <c r="N51" s="178">
        <f t="shared" si="5"/>
        <v>6.4556390977443598</v>
      </c>
      <c r="O51" s="178">
        <f t="shared" si="49"/>
        <v>2.3000000000000003</v>
      </c>
      <c r="P51" s="223">
        <f t="shared" si="69"/>
        <v>1.291127819548872</v>
      </c>
      <c r="Q51" s="223">
        <f t="shared" si="70"/>
        <v>5</v>
      </c>
      <c r="R51" s="223">
        <f t="shared" si="71"/>
        <v>1.4345864661654135</v>
      </c>
      <c r="S51" s="178">
        <f t="shared" si="72"/>
        <v>27.30433417299156</v>
      </c>
      <c r="T51" s="178">
        <f t="shared" si="73"/>
        <v>5</v>
      </c>
      <c r="U51" s="223">
        <f t="shared" si="74"/>
        <v>0.53441649196366181</v>
      </c>
      <c r="V51" s="223">
        <f t="shared" si="75"/>
        <v>0.66802061495457721</v>
      </c>
      <c r="W51" s="223">
        <f t="shared" si="76"/>
        <v>1.0083330037050224</v>
      </c>
      <c r="X51" s="203">
        <f t="shared" si="77"/>
        <v>350</v>
      </c>
      <c r="Y51" s="454">
        <f t="shared" si="50"/>
        <v>350</v>
      </c>
      <c r="AA51" s="223">
        <f t="shared" si="78"/>
        <v>0.91084854994629427</v>
      </c>
      <c r="AB51" s="179">
        <f t="shared" si="79"/>
        <v>1.7185821697099894</v>
      </c>
      <c r="AC51" s="179">
        <f t="shared" si="80"/>
        <v>0.82181824055304764</v>
      </c>
      <c r="AD51" s="179"/>
      <c r="AE51" s="179">
        <f t="shared" si="81"/>
        <v>0.5660377358490567</v>
      </c>
      <c r="AF51" s="563">
        <f t="shared" si="112"/>
        <v>1805.9259259259256</v>
      </c>
      <c r="AG51" s="546">
        <f t="shared" si="82"/>
        <v>8.9150943396226423E-2</v>
      </c>
      <c r="AI51" s="179">
        <f t="shared" si="83"/>
        <v>0.71831666831477314</v>
      </c>
      <c r="AJ51" s="179">
        <f t="shared" si="84"/>
        <v>0.71831666831477314</v>
      </c>
      <c r="AK51" s="179">
        <f t="shared" si="85"/>
        <v>1.5098641987516839</v>
      </c>
      <c r="AM51" s="563">
        <f t="shared" si="86"/>
        <v>460</v>
      </c>
      <c r="AN51" s="472">
        <f t="shared" si="87"/>
        <v>350</v>
      </c>
      <c r="AP51">
        <f t="shared" si="88"/>
        <v>460</v>
      </c>
      <c r="AQ51" s="472">
        <f t="shared" si="89"/>
        <v>350</v>
      </c>
      <c r="AR51" s="472"/>
      <c r="AS51" s="6">
        <f t="shared" si="51"/>
        <v>2.8571428571428572</v>
      </c>
      <c r="AT51" s="6">
        <f t="shared" si="90"/>
        <v>0.8978958353934664</v>
      </c>
      <c r="AU51" s="6">
        <f t="shared" si="52"/>
        <v>1.9592470217493907</v>
      </c>
      <c r="AV51" s="6">
        <f t="shared" si="91"/>
        <v>1.35531446851844</v>
      </c>
      <c r="AW51" s="179">
        <f t="shared" si="53"/>
        <v>0.31426354238771326</v>
      </c>
      <c r="AX51" s="179">
        <f t="shared" si="92"/>
        <v>2.7088888888888882</v>
      </c>
      <c r="AY51" s="179">
        <f t="shared" si="93"/>
        <v>0.7388638913610488</v>
      </c>
      <c r="AZ51" s="179">
        <f t="shared" si="54"/>
        <v>3.6662894486545952</v>
      </c>
      <c r="BA51" s="472">
        <f t="shared" si="94"/>
        <v>8.2606416856198912</v>
      </c>
      <c r="BB51" s="6">
        <f t="shared" si="95"/>
        <v>0.17385293788671291</v>
      </c>
      <c r="BC51" s="6"/>
      <c r="BD51" s="179">
        <f t="shared" si="55"/>
        <v>0.23248895084268542</v>
      </c>
      <c r="BE51" s="179">
        <f t="shared" si="96"/>
        <v>1.030279815176981</v>
      </c>
      <c r="BF51" s="179"/>
      <c r="BG51" s="546">
        <f t="shared" si="97"/>
        <v>1.8917889292376408E-2</v>
      </c>
      <c r="BH51" s="546">
        <f t="shared" si="98"/>
        <v>7.523469204761854E-2</v>
      </c>
      <c r="BI51" s="546">
        <f t="shared" si="99"/>
        <v>4.3749999999999995E-3</v>
      </c>
      <c r="BJ51" s="546">
        <f t="shared" si="100"/>
        <v>2.7860175000000001E-2</v>
      </c>
      <c r="BK51">
        <f t="shared" si="101"/>
        <v>6.96E-3</v>
      </c>
      <c r="BL51" s="546">
        <f t="shared" si="102"/>
        <v>0.13679839150462614</v>
      </c>
      <c r="BM51" s="472">
        <f t="shared" si="56"/>
        <v>136.79839150462612</v>
      </c>
      <c r="BN51" s="546">
        <f t="shared" si="103"/>
        <v>0.17848000000000003</v>
      </c>
      <c r="BO51" s="546"/>
      <c r="BQ51" s="472">
        <f t="shared" si="57"/>
        <v>178.48000000000002</v>
      </c>
      <c r="BR51" s="546">
        <f t="shared" si="104"/>
        <v>1.081022245278652E-2</v>
      </c>
      <c r="BS51" s="546">
        <f t="shared" si="105"/>
        <v>4.2459059902444571E-2</v>
      </c>
      <c r="BT51" s="546">
        <f t="shared" si="106"/>
        <v>5.0110643032813602E-2</v>
      </c>
      <c r="BU51" s="546">
        <f t="shared" si="107"/>
        <v>0.1102420404209605</v>
      </c>
      <c r="BV51" s="546">
        <f t="shared" si="108"/>
        <v>1.8059259259259258E-2</v>
      </c>
      <c r="BW51" s="472">
        <f t="shared" si="58"/>
        <v>128.30129968021976</v>
      </c>
      <c r="BX51" s="179">
        <f t="shared" si="59"/>
        <v>0.44357969118484591</v>
      </c>
      <c r="BY51" s="6">
        <f t="shared" si="60"/>
        <v>2.3000000000000003</v>
      </c>
      <c r="BZ51" s="179">
        <f t="shared" si="61"/>
        <v>0.83832082858388524</v>
      </c>
      <c r="CA51" s="6">
        <f t="shared" si="62"/>
        <v>83.832082858388517</v>
      </c>
      <c r="CD51" s="581">
        <f t="shared" si="109"/>
        <v>-50</v>
      </c>
      <c r="CE51">
        <f t="shared" si="110"/>
        <v>-50</v>
      </c>
    </row>
    <row r="52" spans="5:83" x14ac:dyDescent="0.2">
      <c r="E52" s="176">
        <v>47</v>
      </c>
      <c r="F52" s="223">
        <f t="shared" si="111"/>
        <v>0.47</v>
      </c>
      <c r="G52" s="223"/>
      <c r="H52" s="223">
        <f t="shared" si="64"/>
        <v>2.3499999999999996</v>
      </c>
      <c r="I52" s="559">
        <f t="shared" si="65"/>
        <v>24</v>
      </c>
      <c r="J52" s="178">
        <f t="shared" si="66"/>
        <v>15.899999999999999</v>
      </c>
      <c r="K52" s="454">
        <f t="shared" si="67"/>
        <v>39.9</v>
      </c>
      <c r="L52" s="454"/>
      <c r="M52" s="223">
        <f t="shared" si="68"/>
        <v>0.39849624060150374</v>
      </c>
      <c r="N52" s="178">
        <f t="shared" si="5"/>
        <v>6.4556390977443598</v>
      </c>
      <c r="O52" s="178">
        <f t="shared" si="49"/>
        <v>2.3499999999999996</v>
      </c>
      <c r="P52" s="223">
        <f t="shared" si="69"/>
        <v>1.291127819548872</v>
      </c>
      <c r="Q52" s="223">
        <f t="shared" si="70"/>
        <v>5</v>
      </c>
      <c r="R52" s="223">
        <f t="shared" si="71"/>
        <v>1.4345864661654135</v>
      </c>
      <c r="S52" s="178">
        <f t="shared" si="72"/>
        <v>26.557445800539234</v>
      </c>
      <c r="T52" s="178">
        <f t="shared" si="73"/>
        <v>5</v>
      </c>
      <c r="U52" s="223">
        <f t="shared" si="74"/>
        <v>0.54603424178895865</v>
      </c>
      <c r="V52" s="223">
        <f t="shared" si="75"/>
        <v>0.68254280223619834</v>
      </c>
      <c r="W52" s="223">
        <f t="shared" si="76"/>
        <v>1.0302532863942617</v>
      </c>
      <c r="X52" s="203">
        <f t="shared" si="77"/>
        <v>350</v>
      </c>
      <c r="Y52" s="454">
        <f t="shared" si="50"/>
        <v>350</v>
      </c>
      <c r="AA52" s="223">
        <f t="shared" si="78"/>
        <v>0.91084854994629427</v>
      </c>
      <c r="AB52" s="179">
        <f t="shared" si="79"/>
        <v>1.7185821697099894</v>
      </c>
      <c r="AC52" s="179">
        <f t="shared" si="80"/>
        <v>0.82181824055304764</v>
      </c>
      <c r="AD52" s="179"/>
      <c r="AE52" s="179">
        <f t="shared" si="81"/>
        <v>0.5660377358490567</v>
      </c>
      <c r="AF52" s="563">
        <f t="shared" si="112"/>
        <v>1845.1851851851848</v>
      </c>
      <c r="AG52" s="546">
        <f t="shared" si="82"/>
        <v>8.9150943396226423E-2</v>
      </c>
      <c r="AI52" s="179">
        <f t="shared" si="83"/>
        <v>0.72608247960942229</v>
      </c>
      <c r="AJ52" s="179">
        <f t="shared" si="84"/>
        <v>0.72608247960942229</v>
      </c>
      <c r="AK52" s="179">
        <f t="shared" si="85"/>
        <v>1.5156166515625351</v>
      </c>
      <c r="AM52" s="563">
        <f t="shared" si="86"/>
        <v>470</v>
      </c>
      <c r="AN52" s="472">
        <f t="shared" si="87"/>
        <v>350</v>
      </c>
      <c r="AP52">
        <f t="shared" si="88"/>
        <v>470</v>
      </c>
      <c r="AQ52" s="472">
        <f t="shared" si="89"/>
        <v>350</v>
      </c>
      <c r="AR52" s="472"/>
      <c r="AS52" s="6">
        <f t="shared" si="51"/>
        <v>2.8571428571428572</v>
      </c>
      <c r="AT52" s="6">
        <f t="shared" si="90"/>
        <v>0.90760309951177798</v>
      </c>
      <c r="AU52" s="6">
        <f t="shared" si="52"/>
        <v>1.9495397576310793</v>
      </c>
      <c r="AV52" s="6">
        <f t="shared" si="91"/>
        <v>1.3699669426592875</v>
      </c>
      <c r="AW52" s="179">
        <f t="shared" si="53"/>
        <v>0.31766108482912231</v>
      </c>
      <c r="AX52" s="179">
        <f t="shared" si="92"/>
        <v>2.7677777777777774</v>
      </c>
      <c r="AY52" s="179">
        <f t="shared" si="93"/>
        <v>0.74315149719191109</v>
      </c>
      <c r="AZ52" s="179">
        <f t="shared" si="54"/>
        <v>3.7243789297823722</v>
      </c>
      <c r="BA52" s="472">
        <f t="shared" si="94"/>
        <v>8.5314691354107133</v>
      </c>
      <c r="BB52" s="6">
        <f t="shared" si="95"/>
        <v>0.17675225426053376</v>
      </c>
      <c r="BC52" s="6"/>
      <c r="BD52" s="179">
        <f t="shared" si="55"/>
        <v>0.23626932324837038</v>
      </c>
      <c r="BE52" s="179">
        <f t="shared" si="96"/>
        <v>1.0388351955979904</v>
      </c>
      <c r="BF52" s="179"/>
      <c r="BG52" s="546">
        <f t="shared" si="97"/>
        <v>1.9538117587885026E-2</v>
      </c>
      <c r="BH52" s="546">
        <f t="shared" si="98"/>
        <v>7.6048063708091848E-2</v>
      </c>
      <c r="BI52" s="546">
        <f t="shared" si="99"/>
        <v>4.3749999999999995E-3</v>
      </c>
      <c r="BJ52" s="546">
        <f t="shared" si="100"/>
        <v>2.7860175000000001E-2</v>
      </c>
      <c r="BK52">
        <f t="shared" si="101"/>
        <v>6.96E-3</v>
      </c>
      <c r="BL52" s="546">
        <f t="shared" si="102"/>
        <v>0.13835566417044631</v>
      </c>
      <c r="BM52" s="472">
        <f t="shared" si="56"/>
        <v>138.35566417044632</v>
      </c>
      <c r="BN52" s="546">
        <f t="shared" si="103"/>
        <v>0.18235999999999999</v>
      </c>
      <c r="BO52" s="546"/>
      <c r="BQ52" s="472">
        <f t="shared" si="57"/>
        <v>182.35999999999999</v>
      </c>
      <c r="BR52" s="546">
        <f t="shared" si="104"/>
        <v>1.1164638621648588E-2</v>
      </c>
      <c r="BS52" s="546">
        <f t="shared" si="105"/>
        <v>4.3167142544524605E-2</v>
      </c>
      <c r="BT52" s="546">
        <f t="shared" si="106"/>
        <v>5.1476025645813994E-2</v>
      </c>
      <c r="BU52" s="546">
        <f t="shared" si="107"/>
        <v>0.11281798873396812</v>
      </c>
      <c r="BV52" s="546">
        <f t="shared" si="108"/>
        <v>1.8451851851851848E-2</v>
      </c>
      <c r="BW52" s="472">
        <f t="shared" si="58"/>
        <v>131.26984058581996</v>
      </c>
      <c r="BX52" s="179">
        <f t="shared" si="59"/>
        <v>0.4519855047562662</v>
      </c>
      <c r="BY52" s="6">
        <f t="shared" si="60"/>
        <v>2.3499999999999996</v>
      </c>
      <c r="BZ52" s="179">
        <f t="shared" si="61"/>
        <v>0.8386909910886271</v>
      </c>
      <c r="CA52" s="6">
        <f t="shared" si="62"/>
        <v>83.869099108862713</v>
      </c>
      <c r="CD52" s="581">
        <f t="shared" si="109"/>
        <v>-50</v>
      </c>
      <c r="CE52">
        <f t="shared" si="110"/>
        <v>-50</v>
      </c>
    </row>
    <row r="53" spans="5:83" x14ac:dyDescent="0.2">
      <c r="E53" s="176">
        <v>48</v>
      </c>
      <c r="F53" s="223">
        <f t="shared" si="111"/>
        <v>0.48</v>
      </c>
      <c r="G53" s="223"/>
      <c r="H53" s="223">
        <f t="shared" si="64"/>
        <v>2.4</v>
      </c>
      <c r="I53" s="559">
        <f t="shared" si="65"/>
        <v>24</v>
      </c>
      <c r="J53" s="178">
        <f t="shared" si="66"/>
        <v>15.899999999999999</v>
      </c>
      <c r="K53" s="454">
        <f t="shared" si="67"/>
        <v>39.9</v>
      </c>
      <c r="L53" s="454"/>
      <c r="M53" s="223">
        <f t="shared" si="68"/>
        <v>0.39849624060150374</v>
      </c>
      <c r="N53" s="178">
        <f t="shared" si="5"/>
        <v>6.4556390977443598</v>
      </c>
      <c r="O53" s="178">
        <f t="shared" si="49"/>
        <v>2.4</v>
      </c>
      <c r="P53" s="223">
        <f t="shared" si="69"/>
        <v>1.291127819548872</v>
      </c>
      <c r="Q53" s="223">
        <f t="shared" si="70"/>
        <v>5</v>
      </c>
      <c r="R53" s="223">
        <f t="shared" si="71"/>
        <v>1.4345864661654135</v>
      </c>
      <c r="S53" s="178">
        <f t="shared" si="72"/>
        <v>25.841806966636351</v>
      </c>
      <c r="T53" s="178">
        <f t="shared" si="73"/>
        <v>5</v>
      </c>
      <c r="U53" s="223">
        <f t="shared" si="74"/>
        <v>0.55765199161425572</v>
      </c>
      <c r="V53" s="223">
        <f t="shared" si="75"/>
        <v>0.69706498951781959</v>
      </c>
      <c r="W53" s="223">
        <f t="shared" si="76"/>
        <v>1.0521735690835015</v>
      </c>
      <c r="X53" s="203">
        <f t="shared" si="77"/>
        <v>350</v>
      </c>
      <c r="Y53" s="454">
        <f t="shared" si="50"/>
        <v>350</v>
      </c>
      <c r="AA53" s="223">
        <f t="shared" si="78"/>
        <v>0.91084854994629427</v>
      </c>
      <c r="AB53" s="179">
        <f t="shared" si="79"/>
        <v>1.7185821697099894</v>
      </c>
      <c r="AC53" s="179">
        <f t="shared" si="80"/>
        <v>0.82181824055304764</v>
      </c>
      <c r="AD53" s="179"/>
      <c r="AE53" s="179">
        <f t="shared" si="81"/>
        <v>0.5660377358490567</v>
      </c>
      <c r="AF53" s="563">
        <f t="shared" si="112"/>
        <v>1884.4444444444441</v>
      </c>
      <c r="AG53" s="546">
        <f t="shared" si="82"/>
        <v>8.9150943396226423E-2</v>
      </c>
      <c r="AI53" s="179">
        <f t="shared" si="83"/>
        <v>0.7337661060669799</v>
      </c>
      <c r="AJ53" s="179">
        <f t="shared" si="84"/>
        <v>0.7337661060669799</v>
      </c>
      <c r="AK53" s="179">
        <f t="shared" si="85"/>
        <v>1.5213082267162814</v>
      </c>
      <c r="AM53" s="563">
        <f t="shared" si="86"/>
        <v>480</v>
      </c>
      <c r="AN53" s="472">
        <f t="shared" si="87"/>
        <v>350</v>
      </c>
      <c r="AP53">
        <f t="shared" si="88"/>
        <v>480</v>
      </c>
      <c r="AQ53" s="472">
        <f t="shared" si="89"/>
        <v>350</v>
      </c>
      <c r="AR53" s="472"/>
      <c r="AS53" s="6">
        <f t="shared" si="51"/>
        <v>2.8571428571428572</v>
      </c>
      <c r="AT53" s="6">
        <f t="shared" si="90"/>
        <v>0.91720763258372484</v>
      </c>
      <c r="AU53" s="6">
        <f t="shared" si="52"/>
        <v>1.9399352245591324</v>
      </c>
      <c r="AV53" s="6">
        <f t="shared" si="91"/>
        <v>1.3844643510697734</v>
      </c>
      <c r="AW53" s="179">
        <f t="shared" si="53"/>
        <v>0.32102267140430368</v>
      </c>
      <c r="AX53" s="179">
        <f t="shared" si="92"/>
        <v>2.8266666666666667</v>
      </c>
      <c r="AY53" s="179">
        <f t="shared" si="93"/>
        <v>0.74731582576713662</v>
      </c>
      <c r="AZ53" s="179">
        <f t="shared" si="54"/>
        <v>3.7824258087469635</v>
      </c>
      <c r="BA53" s="472">
        <f t="shared" si="94"/>
        <v>8.8051932728037574</v>
      </c>
      <c r="BB53" s="6">
        <f t="shared" si="95"/>
        <v>0.17962363190362335</v>
      </c>
      <c r="BC53" s="6"/>
      <c r="BD53" s="179">
        <f t="shared" si="55"/>
        <v>0.24002963897710919</v>
      </c>
      <c r="BE53" s="179">
        <f t="shared" si="96"/>
        <v>1.0472392501003593</v>
      </c>
      <c r="BF53" s="179"/>
      <c r="BG53" s="546">
        <f t="shared" si="97"/>
        <v>2.0164979655618479E-2</v>
      </c>
      <c r="BH53" s="546">
        <f t="shared" si="98"/>
        <v>7.6852827534190302E-2</v>
      </c>
      <c r="BI53" s="546">
        <f t="shared" si="99"/>
        <v>4.3749999999999995E-3</v>
      </c>
      <c r="BJ53" s="546">
        <f t="shared" si="100"/>
        <v>2.7860175000000001E-2</v>
      </c>
      <c r="BK53">
        <f t="shared" si="101"/>
        <v>6.96E-3</v>
      </c>
      <c r="BL53" s="546">
        <f t="shared" si="102"/>
        <v>0.13991284866561876</v>
      </c>
      <c r="BM53" s="472">
        <f t="shared" si="56"/>
        <v>139.91284866561875</v>
      </c>
      <c r="BN53" s="546">
        <f t="shared" si="103"/>
        <v>0.18623999999999999</v>
      </c>
      <c r="BO53" s="546"/>
      <c r="BQ53" s="472">
        <f t="shared" si="57"/>
        <v>186.23999999999998</v>
      </c>
      <c r="BR53" s="546">
        <f t="shared" si="104"/>
        <v>1.1522845517496275E-2</v>
      </c>
      <c r="BS53" s="546">
        <f t="shared" si="105"/>
        <v>4.3868401878030518E-2</v>
      </c>
      <c r="BT53" s="546">
        <f t="shared" si="106"/>
        <v>5.284869076430234E-2</v>
      </c>
      <c r="BU53" s="546">
        <f t="shared" si="107"/>
        <v>0.11539825209776908</v>
      </c>
      <c r="BV53" s="546">
        <f t="shared" si="108"/>
        <v>1.8844444444444445E-2</v>
      </c>
      <c r="BW53" s="472">
        <f t="shared" si="58"/>
        <v>134.24269654221351</v>
      </c>
      <c r="BX53" s="179">
        <f t="shared" si="59"/>
        <v>0.46039554520783232</v>
      </c>
      <c r="BY53" s="6">
        <f t="shared" si="60"/>
        <v>2.4</v>
      </c>
      <c r="BZ53" s="179">
        <f t="shared" si="61"/>
        <v>0.83904479715081481</v>
      </c>
      <c r="CA53" s="6">
        <f t="shared" si="62"/>
        <v>83.904479715081479</v>
      </c>
      <c r="CD53" s="581">
        <f t="shared" si="109"/>
        <v>-50</v>
      </c>
      <c r="CE53">
        <f t="shared" si="110"/>
        <v>-50</v>
      </c>
    </row>
    <row r="54" spans="5:83" x14ac:dyDescent="0.2">
      <c r="E54" s="176">
        <v>49</v>
      </c>
      <c r="F54" s="223">
        <f t="shared" si="111"/>
        <v>0.49</v>
      </c>
      <c r="G54" s="223"/>
      <c r="H54" s="223">
        <f t="shared" si="64"/>
        <v>2.4500000000000002</v>
      </c>
      <c r="I54" s="559">
        <f t="shared" si="65"/>
        <v>24</v>
      </c>
      <c r="J54" s="178">
        <f t="shared" si="66"/>
        <v>15.899999999999999</v>
      </c>
      <c r="K54" s="454">
        <f t="shared" si="67"/>
        <v>39.9</v>
      </c>
      <c r="L54" s="454"/>
      <c r="M54" s="223">
        <f t="shared" si="68"/>
        <v>0.39849624060150374</v>
      </c>
      <c r="N54" s="178">
        <f t="shared" si="5"/>
        <v>6.4556390977443598</v>
      </c>
      <c r="O54" s="178">
        <f t="shared" si="49"/>
        <v>2.4500000000000002</v>
      </c>
      <c r="P54" s="223">
        <f t="shared" si="69"/>
        <v>1.291127819548872</v>
      </c>
      <c r="Q54" s="223">
        <f t="shared" si="70"/>
        <v>5</v>
      </c>
      <c r="R54" s="223">
        <f t="shared" si="71"/>
        <v>1.4345864661654135</v>
      </c>
      <c r="S54" s="178">
        <f t="shared" si="72"/>
        <v>25.155506643892263</v>
      </c>
      <c r="T54" s="178">
        <f t="shared" si="73"/>
        <v>5</v>
      </c>
      <c r="U54" s="223">
        <f t="shared" si="74"/>
        <v>0.56926974143955278</v>
      </c>
      <c r="V54" s="223">
        <f t="shared" si="75"/>
        <v>0.71158717679944095</v>
      </c>
      <c r="W54" s="223">
        <f t="shared" si="76"/>
        <v>1.0740938517727412</v>
      </c>
      <c r="X54" s="203">
        <f t="shared" si="77"/>
        <v>350</v>
      </c>
      <c r="Y54" s="454">
        <f t="shared" si="50"/>
        <v>350</v>
      </c>
      <c r="AA54" s="223">
        <f t="shared" si="78"/>
        <v>0.91084854994629427</v>
      </c>
      <c r="AB54" s="179">
        <f t="shared" si="79"/>
        <v>1.7185821697099894</v>
      </c>
      <c r="AC54" s="179">
        <f t="shared" si="80"/>
        <v>0.82181824055304764</v>
      </c>
      <c r="AD54" s="179"/>
      <c r="AE54" s="179">
        <f t="shared" si="81"/>
        <v>0.5660377358490567</v>
      </c>
      <c r="AF54" s="563">
        <f t="shared" si="112"/>
        <v>1923.7037037037035</v>
      </c>
      <c r="AG54" s="546">
        <f t="shared" si="82"/>
        <v>8.9150943396226423E-2</v>
      </c>
      <c r="AI54" s="179">
        <f t="shared" si="83"/>
        <v>0.74137010300498996</v>
      </c>
      <c r="AJ54" s="179">
        <f t="shared" si="84"/>
        <v>0.74137010300498996</v>
      </c>
      <c r="AK54" s="179">
        <f t="shared" si="85"/>
        <v>1.5269408170407333</v>
      </c>
      <c r="AM54" s="563">
        <f t="shared" si="86"/>
        <v>490</v>
      </c>
      <c r="AN54" s="472">
        <f t="shared" si="87"/>
        <v>350</v>
      </c>
      <c r="AP54">
        <f t="shared" si="88"/>
        <v>490</v>
      </c>
      <c r="AQ54" s="472">
        <f t="shared" si="89"/>
        <v>350</v>
      </c>
      <c r="AR54" s="472"/>
      <c r="AS54" s="6">
        <f t="shared" si="51"/>
        <v>2.8571428571428572</v>
      </c>
      <c r="AT54" s="6">
        <f t="shared" si="90"/>
        <v>0.9267126287562375</v>
      </c>
      <c r="AU54" s="6">
        <f t="shared" si="52"/>
        <v>1.9304302283866197</v>
      </c>
      <c r="AV54" s="6">
        <f t="shared" si="91"/>
        <v>1.398811515103755</v>
      </c>
      <c r="AW54" s="179">
        <f t="shared" si="53"/>
        <v>0.32434942006468309</v>
      </c>
      <c r="AX54" s="179">
        <f t="shared" si="92"/>
        <v>2.885555555555555</v>
      </c>
      <c r="AY54" s="179">
        <f t="shared" si="93"/>
        <v>0.75136071006304062</v>
      </c>
      <c r="AZ54" s="179">
        <f t="shared" si="54"/>
        <v>3.8404397740114082</v>
      </c>
      <c r="BA54" s="472">
        <f t="shared" si="94"/>
        <v>9.0817837618111277</v>
      </c>
      <c r="BB54" s="6">
        <f t="shared" si="95"/>
        <v>0.18246736340845746</v>
      </c>
      <c r="BC54" s="6"/>
      <c r="BD54" s="179">
        <f t="shared" si="55"/>
        <v>0.2437704190563578</v>
      </c>
      <c r="BE54" s="179">
        <f t="shared" si="96"/>
        <v>1.0554964396087168</v>
      </c>
      <c r="BF54" s="179"/>
      <c r="BG54" s="546">
        <f t="shared" si="97"/>
        <v>2.0798406022419301E-2</v>
      </c>
      <c r="BH54" s="546">
        <f t="shared" si="98"/>
        <v>7.7649251163485131E-2</v>
      </c>
      <c r="BI54" s="546">
        <f t="shared" si="99"/>
        <v>4.3749999999999995E-3</v>
      </c>
      <c r="BJ54" s="546">
        <f t="shared" si="100"/>
        <v>2.7860175000000001E-2</v>
      </c>
      <c r="BK54">
        <f t="shared" si="101"/>
        <v>6.96E-3</v>
      </c>
      <c r="BL54" s="546">
        <f t="shared" si="102"/>
        <v>0.1414701424739376</v>
      </c>
      <c r="BM54" s="472">
        <f t="shared" si="56"/>
        <v>141.47014247393761</v>
      </c>
      <c r="BN54" s="546">
        <f t="shared" si="103"/>
        <v>0.19012000000000001</v>
      </c>
      <c r="BO54" s="546"/>
      <c r="BQ54" s="472">
        <f t="shared" si="57"/>
        <v>190.12</v>
      </c>
      <c r="BR54" s="546">
        <f t="shared" si="104"/>
        <v>1.1884803441382458E-2</v>
      </c>
      <c r="BS54" s="546">
        <f t="shared" si="105"/>
        <v>4.4562909361067098E-2</v>
      </c>
      <c r="BT54" s="546">
        <f t="shared" si="106"/>
        <v>5.422852428556308E-2</v>
      </c>
      <c r="BU54" s="546">
        <f t="shared" si="107"/>
        <v>0.1179827511404682</v>
      </c>
      <c r="BV54" s="546">
        <f t="shared" si="108"/>
        <v>1.9237037037037035E-2</v>
      </c>
      <c r="BW54" s="472">
        <f t="shared" si="58"/>
        <v>137.21978817750525</v>
      </c>
      <c r="BX54" s="179">
        <f t="shared" si="59"/>
        <v>0.46880993065144283</v>
      </c>
      <c r="BY54" s="6">
        <f t="shared" si="60"/>
        <v>2.4500000000000002</v>
      </c>
      <c r="BZ54" s="179">
        <f t="shared" si="61"/>
        <v>0.83938319322258503</v>
      </c>
      <c r="CA54" s="6">
        <f t="shared" si="62"/>
        <v>83.938319322258508</v>
      </c>
      <c r="CD54" s="581">
        <f t="shared" si="109"/>
        <v>-50</v>
      </c>
      <c r="CE54">
        <f t="shared" si="110"/>
        <v>-50</v>
      </c>
    </row>
    <row r="55" spans="5:83" x14ac:dyDescent="0.2">
      <c r="E55" s="176">
        <v>50</v>
      </c>
      <c r="F55" s="223">
        <f t="shared" si="111"/>
        <v>0.5</v>
      </c>
      <c r="G55" s="223"/>
      <c r="H55" s="223">
        <f t="shared" si="64"/>
        <v>2.5</v>
      </c>
      <c r="I55" s="559">
        <f t="shared" si="65"/>
        <v>24</v>
      </c>
      <c r="J55" s="178">
        <f t="shared" si="66"/>
        <v>15.899999999999999</v>
      </c>
      <c r="K55" s="454">
        <f t="shared" si="67"/>
        <v>39.9</v>
      </c>
      <c r="L55" s="454"/>
      <c r="M55" s="223">
        <f t="shared" si="68"/>
        <v>0.39849624060150374</v>
      </c>
      <c r="N55" s="178">
        <f t="shared" si="5"/>
        <v>6.4556390977443598</v>
      </c>
      <c r="O55" s="178">
        <f t="shared" si="49"/>
        <v>2.5</v>
      </c>
      <c r="P55" s="223">
        <f t="shared" si="69"/>
        <v>1.291127819548872</v>
      </c>
      <c r="Q55" s="223">
        <f t="shared" si="70"/>
        <v>5</v>
      </c>
      <c r="R55" s="223">
        <f t="shared" si="71"/>
        <v>1.4345864661654135</v>
      </c>
      <c r="S55" s="178">
        <f t="shared" si="72"/>
        <v>24.496786733932574</v>
      </c>
      <c r="T55" s="178">
        <f t="shared" si="73"/>
        <v>5</v>
      </c>
      <c r="U55" s="223">
        <f t="shared" si="74"/>
        <v>0.58088749126484973</v>
      </c>
      <c r="V55" s="223">
        <f t="shared" si="75"/>
        <v>0.72610936408106208</v>
      </c>
      <c r="W55" s="223">
        <f t="shared" si="76"/>
        <v>1.0960141344619807</v>
      </c>
      <c r="X55" s="203">
        <f t="shared" si="77"/>
        <v>350</v>
      </c>
      <c r="Y55" s="454">
        <f t="shared" si="50"/>
        <v>350</v>
      </c>
      <c r="AA55" s="223">
        <f t="shared" si="78"/>
        <v>0.91084854994629427</v>
      </c>
      <c r="AB55" s="179">
        <f t="shared" si="79"/>
        <v>1.7185821697099894</v>
      </c>
      <c r="AC55" s="179">
        <f t="shared" si="80"/>
        <v>0.82181824055304764</v>
      </c>
      <c r="AD55" s="179"/>
      <c r="AE55" s="179">
        <f t="shared" si="81"/>
        <v>0.5660377358490567</v>
      </c>
      <c r="AF55" s="563">
        <f t="shared" si="112"/>
        <v>1962.9629629629626</v>
      </c>
      <c r="AG55" s="546">
        <f t="shared" si="82"/>
        <v>8.9150943396226423E-2</v>
      </c>
      <c r="AI55" s="179">
        <f t="shared" si="83"/>
        <v>0.74889689600542531</v>
      </c>
      <c r="AJ55" s="179">
        <f t="shared" si="84"/>
        <v>0.74889689600542531</v>
      </c>
      <c r="AK55" s="179">
        <f t="shared" si="85"/>
        <v>1.532516219263278</v>
      </c>
      <c r="AM55" s="563">
        <f t="shared" si="86"/>
        <v>500</v>
      </c>
      <c r="AN55" s="472">
        <f t="shared" si="87"/>
        <v>350</v>
      </c>
      <c r="AP55">
        <f t="shared" si="88"/>
        <v>500</v>
      </c>
      <c r="AQ55" s="472">
        <f t="shared" si="89"/>
        <v>350</v>
      </c>
      <c r="AR55" s="472"/>
      <c r="AS55" s="6">
        <f t="shared" si="51"/>
        <v>2.8571428571428572</v>
      </c>
      <c r="AT55" s="6">
        <f t="shared" si="90"/>
        <v>0.9361211200067816</v>
      </c>
      <c r="AU55" s="6">
        <f t="shared" si="52"/>
        <v>1.9210217371360756</v>
      </c>
      <c r="AV55" s="6">
        <f t="shared" si="91"/>
        <v>1.4130130113309913</v>
      </c>
      <c r="AW55" s="179">
        <f t="shared" si="53"/>
        <v>0.32764239200237355</v>
      </c>
      <c r="AX55" s="179">
        <f t="shared" si="92"/>
        <v>2.9444444444444442</v>
      </c>
      <c r="AY55" s="179">
        <f t="shared" si="93"/>
        <v>0.75528978845258254</v>
      </c>
      <c r="AZ55" s="179">
        <f t="shared" si="54"/>
        <v>3.8984300985677867</v>
      </c>
      <c r="BA55" s="472">
        <f t="shared" si="94"/>
        <v>9.3612112000678156</v>
      </c>
      <c r="BB55" s="6">
        <f t="shared" si="95"/>
        <v>0.1852837323626616</v>
      </c>
      <c r="BC55" s="6"/>
      <c r="BD55" s="179">
        <f t="shared" si="55"/>
        <v>0.2474921606449195</v>
      </c>
      <c r="BE55" s="179">
        <f t="shared" si="96"/>
        <v>1.0636109985861686</v>
      </c>
      <c r="BF55" s="179"/>
      <c r="BG55" s="546">
        <f t="shared" si="97"/>
        <v>2.143832935324172E-2</v>
      </c>
      <c r="BH55" s="546">
        <f t="shared" si="98"/>
        <v>7.8437588645368234E-2</v>
      </c>
      <c r="BI55" s="546">
        <f t="shared" si="99"/>
        <v>4.3749999999999995E-3</v>
      </c>
      <c r="BJ55" s="546">
        <f t="shared" si="100"/>
        <v>2.7860175000000001E-2</v>
      </c>
      <c r="BK55">
        <f t="shared" si="101"/>
        <v>6.96E-3</v>
      </c>
      <c r="BL55" s="546">
        <f t="shared" si="102"/>
        <v>0.14302773196519272</v>
      </c>
      <c r="BM55" s="472">
        <f t="shared" si="56"/>
        <v>143.02773196519271</v>
      </c>
      <c r="BN55" s="546">
        <f t="shared" si="103"/>
        <v>0.19400000000000001</v>
      </c>
      <c r="BO55" s="546"/>
      <c r="BQ55" s="472">
        <f t="shared" si="57"/>
        <v>194</v>
      </c>
      <c r="BR55" s="546">
        <f t="shared" si="104"/>
        <v>1.2250473916138128E-2</v>
      </c>
      <c r="BS55" s="546">
        <f t="shared" si="105"/>
        <v>4.5250734252538664E-2</v>
      </c>
      <c r="BT55" s="546">
        <f t="shared" si="106"/>
        <v>5.5615416193298517E-2</v>
      </c>
      <c r="BU55" s="546">
        <f t="shared" si="107"/>
        <v>0.12057140947947011</v>
      </c>
      <c r="BV55" s="546">
        <f t="shared" si="108"/>
        <v>1.9629629629629632E-2</v>
      </c>
      <c r="BW55" s="472">
        <f t="shared" si="58"/>
        <v>140.20103910909972</v>
      </c>
      <c r="BX55" s="179">
        <f t="shared" si="59"/>
        <v>0.47722877107429246</v>
      </c>
      <c r="BY55" s="6">
        <f t="shared" si="60"/>
        <v>2.5</v>
      </c>
      <c r="BZ55" s="179">
        <f t="shared" si="61"/>
        <v>0.83970705385125943</v>
      </c>
      <c r="CA55" s="6">
        <f t="shared" si="62"/>
        <v>83.970705385125939</v>
      </c>
      <c r="CD55" s="581">
        <f t="shared" si="109"/>
        <v>-50</v>
      </c>
      <c r="CE55">
        <f t="shared" si="110"/>
        <v>-50</v>
      </c>
    </row>
    <row r="56" spans="5:83" x14ac:dyDescent="0.2">
      <c r="E56" s="176">
        <v>51</v>
      </c>
      <c r="F56" s="223">
        <f t="shared" si="111"/>
        <v>0.51</v>
      </c>
      <c r="G56" s="223"/>
      <c r="H56" s="223">
        <f t="shared" si="64"/>
        <v>2.5499999999999998</v>
      </c>
      <c r="I56" s="559">
        <f t="shared" si="65"/>
        <v>24</v>
      </c>
      <c r="J56" s="178">
        <f t="shared" si="66"/>
        <v>15.899999999999999</v>
      </c>
      <c r="K56" s="454">
        <f t="shared" si="67"/>
        <v>39.9</v>
      </c>
      <c r="L56" s="454"/>
      <c r="M56" s="223">
        <f t="shared" si="68"/>
        <v>0.39849624060150374</v>
      </c>
      <c r="N56" s="178">
        <f t="shared" si="5"/>
        <v>6.4556390977443598</v>
      </c>
      <c r="O56" s="178">
        <f t="shared" si="49"/>
        <v>2.5499999999999998</v>
      </c>
      <c r="P56" s="223">
        <f t="shared" si="69"/>
        <v>1.291127819548872</v>
      </c>
      <c r="Q56" s="223">
        <f t="shared" si="70"/>
        <v>5</v>
      </c>
      <c r="R56" s="223">
        <f t="shared" si="71"/>
        <v>1.4345864661654135</v>
      </c>
      <c r="S56" s="178">
        <f t="shared" si="72"/>
        <v>23.864027075484483</v>
      </c>
      <c r="T56" s="178">
        <f t="shared" si="73"/>
        <v>5</v>
      </c>
      <c r="U56" s="223">
        <f t="shared" si="74"/>
        <v>0.59250524109014668</v>
      </c>
      <c r="V56" s="223">
        <f t="shared" si="75"/>
        <v>0.74063155136268333</v>
      </c>
      <c r="W56" s="223">
        <f t="shared" si="76"/>
        <v>1.1179344171512202</v>
      </c>
      <c r="X56" s="203">
        <f t="shared" si="77"/>
        <v>350</v>
      </c>
      <c r="Y56" s="454">
        <f t="shared" si="50"/>
        <v>350</v>
      </c>
      <c r="AA56" s="223">
        <f t="shared" si="78"/>
        <v>0.91084854994629427</v>
      </c>
      <c r="AB56" s="179">
        <f t="shared" si="79"/>
        <v>1.7185821697099894</v>
      </c>
      <c r="AC56" s="179">
        <f t="shared" si="80"/>
        <v>0.82181824055304764</v>
      </c>
      <c r="AD56" s="179"/>
      <c r="AE56" s="179">
        <f t="shared" si="81"/>
        <v>0.5660377358490567</v>
      </c>
      <c r="AF56" s="563">
        <f t="shared" si="112"/>
        <v>2002.2222222222217</v>
      </c>
      <c r="AG56" s="546">
        <f t="shared" si="82"/>
        <v>8.9150943396226423E-2</v>
      </c>
      <c r="AI56" s="179">
        <f t="shared" si="83"/>
        <v>0.75634878995308241</v>
      </c>
      <c r="AJ56" s="179">
        <f t="shared" si="84"/>
        <v>0.75634878995308241</v>
      </c>
      <c r="AK56" s="179">
        <f t="shared" si="85"/>
        <v>1.5380361407059868</v>
      </c>
      <c r="AM56" s="563">
        <f t="shared" si="86"/>
        <v>510</v>
      </c>
      <c r="AN56" s="472">
        <f t="shared" si="87"/>
        <v>350</v>
      </c>
      <c r="AP56">
        <f t="shared" si="88"/>
        <v>510</v>
      </c>
      <c r="AQ56" s="472">
        <f t="shared" si="89"/>
        <v>350</v>
      </c>
      <c r="AR56" s="472"/>
      <c r="AS56" s="6">
        <f t="shared" si="51"/>
        <v>2.8571428571428572</v>
      </c>
      <c r="AT56" s="6">
        <f t="shared" si="90"/>
        <v>0.94543598744135304</v>
      </c>
      <c r="AU56" s="6">
        <f t="shared" si="52"/>
        <v>1.9117068697015043</v>
      </c>
      <c r="AV56" s="6">
        <f t="shared" si="91"/>
        <v>1.4270731885907217</v>
      </c>
      <c r="AW56" s="179">
        <f t="shared" si="53"/>
        <v>0.33090259560447355</v>
      </c>
      <c r="AX56" s="179">
        <f t="shared" si="92"/>
        <v>3.0033333333333325</v>
      </c>
      <c r="AY56" s="179">
        <f t="shared" si="93"/>
        <v>0.75910651826295694</v>
      </c>
      <c r="AZ56" s="179">
        <f t="shared" si="54"/>
        <v>3.9564056704529156</v>
      </c>
      <c r="BA56" s="472">
        <f t="shared" si="94"/>
        <v>9.6434470719018019</v>
      </c>
      <c r="BB56" s="6">
        <f t="shared" si="95"/>
        <v>0.18807301380165256</v>
      </c>
      <c r="BC56" s="6"/>
      <c r="BD56" s="179">
        <f t="shared" si="55"/>
        <v>0.25119533858093296</v>
      </c>
      <c r="BE56" s="179">
        <f t="shared" si="96"/>
        <v>1.0715869507731839</v>
      </c>
      <c r="BF56" s="179"/>
      <c r="BG56" s="546">
        <f t="shared" si="97"/>
        <v>2.2084684343676341E-2</v>
      </c>
      <c r="BH56" s="546">
        <f t="shared" si="98"/>
        <v>7.921808138771097E-2</v>
      </c>
      <c r="BI56" s="546">
        <f t="shared" si="99"/>
        <v>4.3749999999999995E-3</v>
      </c>
      <c r="BJ56" s="546">
        <f t="shared" si="100"/>
        <v>2.7860175000000001E-2</v>
      </c>
      <c r="BK56">
        <f t="shared" si="101"/>
        <v>6.96E-3</v>
      </c>
      <c r="BL56" s="546">
        <f t="shared" si="102"/>
        <v>0.14458579321850404</v>
      </c>
      <c r="BM56" s="472">
        <f t="shared" si="56"/>
        <v>144.58579321850405</v>
      </c>
      <c r="BN56" s="546">
        <f t="shared" si="103"/>
        <v>0.19788</v>
      </c>
      <c r="BO56" s="546"/>
      <c r="BQ56" s="472">
        <f t="shared" si="57"/>
        <v>197.88</v>
      </c>
      <c r="BR56" s="546">
        <f t="shared" si="104"/>
        <v>1.2619819624957909E-2</v>
      </c>
      <c r="BS56" s="546">
        <f t="shared" si="105"/>
        <v>4.5931943722694796E-2</v>
      </c>
      <c r="BT56" s="546">
        <f t="shared" si="106"/>
        <v>5.7009260332246715E-2</v>
      </c>
      <c r="BU56" s="546">
        <f t="shared" si="107"/>
        <v>0.12316415355134995</v>
      </c>
      <c r="BV56" s="546">
        <f t="shared" si="108"/>
        <v>2.0022222222222219E-2</v>
      </c>
      <c r="BW56" s="472">
        <f t="shared" si="58"/>
        <v>143.18637577357219</v>
      </c>
      <c r="BX56" s="179">
        <f t="shared" si="59"/>
        <v>0.48565216899207619</v>
      </c>
      <c r="BY56" s="6">
        <f t="shared" si="60"/>
        <v>2.5499999999999998</v>
      </c>
      <c r="BZ56" s="179">
        <f t="shared" si="61"/>
        <v>0.84001718841413675</v>
      </c>
      <c r="CA56" s="6">
        <f t="shared" si="62"/>
        <v>84.001718841413677</v>
      </c>
      <c r="CD56" s="581">
        <f t="shared" si="109"/>
        <v>-50</v>
      </c>
      <c r="CE56">
        <f t="shared" si="110"/>
        <v>-50</v>
      </c>
    </row>
    <row r="57" spans="5:83" x14ac:dyDescent="0.2">
      <c r="E57" s="176">
        <v>52</v>
      </c>
      <c r="F57" s="223">
        <f t="shared" si="111"/>
        <v>0.52</v>
      </c>
      <c r="G57" s="223"/>
      <c r="H57" s="223">
        <f t="shared" si="64"/>
        <v>2.6</v>
      </c>
      <c r="I57" s="559">
        <f t="shared" si="65"/>
        <v>24</v>
      </c>
      <c r="J57" s="178">
        <f t="shared" si="66"/>
        <v>15.899999999999999</v>
      </c>
      <c r="K57" s="454">
        <f t="shared" si="67"/>
        <v>39.9</v>
      </c>
      <c r="L57" s="454"/>
      <c r="M57" s="223">
        <f t="shared" si="68"/>
        <v>0.39849624060150374</v>
      </c>
      <c r="N57" s="178">
        <f t="shared" si="5"/>
        <v>6.4556390977443598</v>
      </c>
      <c r="O57" s="178">
        <f t="shared" si="49"/>
        <v>2.6</v>
      </c>
      <c r="P57" s="223">
        <f t="shared" si="69"/>
        <v>1.291127819548872</v>
      </c>
      <c r="Q57" s="223">
        <f t="shared" si="70"/>
        <v>5</v>
      </c>
      <c r="R57" s="223">
        <f t="shared" si="71"/>
        <v>1.4345864661654135</v>
      </c>
      <c r="S57" s="178">
        <f t="shared" si="72"/>
        <v>23.255732182326334</v>
      </c>
      <c r="T57" s="178">
        <f t="shared" si="73"/>
        <v>5</v>
      </c>
      <c r="U57" s="223">
        <f t="shared" si="74"/>
        <v>0.60412299091544375</v>
      </c>
      <c r="V57" s="223">
        <f t="shared" si="75"/>
        <v>0.75515373864430468</v>
      </c>
      <c r="W57" s="223">
        <f t="shared" si="76"/>
        <v>1.1398546998404602</v>
      </c>
      <c r="X57" s="203">
        <f t="shared" si="77"/>
        <v>350</v>
      </c>
      <c r="Y57" s="454">
        <f t="shared" si="50"/>
        <v>350</v>
      </c>
      <c r="AA57" s="223">
        <f t="shared" si="78"/>
        <v>0.91084854994629427</v>
      </c>
      <c r="AB57" s="179">
        <f t="shared" si="79"/>
        <v>1.7185821697099894</v>
      </c>
      <c r="AC57" s="179">
        <f t="shared" si="80"/>
        <v>0.82181824055304764</v>
      </c>
      <c r="AD57" s="179"/>
      <c r="AE57" s="179">
        <f t="shared" si="81"/>
        <v>0.5660377358490567</v>
      </c>
      <c r="AF57" s="563">
        <f t="shared" si="112"/>
        <v>2041.4814814814811</v>
      </c>
      <c r="AG57" s="546">
        <f t="shared" si="82"/>
        <v>8.9150943396226423E-2</v>
      </c>
      <c r="AI57" s="179">
        <f t="shared" si="83"/>
        <v>0.76372797728014608</v>
      </c>
      <c r="AJ57" s="179">
        <f t="shared" si="84"/>
        <v>0.76372797728014608</v>
      </c>
      <c r="AK57" s="179">
        <f t="shared" si="85"/>
        <v>1.5435022053927008</v>
      </c>
      <c r="AM57" s="563">
        <f t="shared" si="86"/>
        <v>520</v>
      </c>
      <c r="AN57" s="472">
        <f t="shared" si="87"/>
        <v>350</v>
      </c>
      <c r="AP57">
        <f t="shared" si="88"/>
        <v>520</v>
      </c>
      <c r="AQ57" s="472">
        <f t="shared" si="89"/>
        <v>350</v>
      </c>
      <c r="AR57" s="472"/>
      <c r="AS57" s="6">
        <f t="shared" si="51"/>
        <v>2.8571428571428572</v>
      </c>
      <c r="AT57" s="6">
        <f t="shared" si="90"/>
        <v>0.95465997160018268</v>
      </c>
      <c r="AU57" s="6">
        <f t="shared" si="52"/>
        <v>1.9024828855426745</v>
      </c>
      <c r="AV57" s="6">
        <f t="shared" si="91"/>
        <v>1.4409961835474456</v>
      </c>
      <c r="AW57" s="179">
        <f t="shared" si="53"/>
        <v>0.33413099006006391</v>
      </c>
      <c r="AX57" s="179">
        <f t="shared" si="92"/>
        <v>3.0622222222222226</v>
      </c>
      <c r="AY57" s="179">
        <f t="shared" si="93"/>
        <v>0.76281418814244129</v>
      </c>
      <c r="AZ57" s="179">
        <f t="shared" si="54"/>
        <v>4.0143750205789432</v>
      </c>
      <c r="BA57" s="472">
        <f t="shared" si="94"/>
        <v>9.9284637046419011</v>
      </c>
      <c r="BB57" s="6">
        <f t="shared" si="95"/>
        <v>0.19083547463005218</v>
      </c>
      <c r="BC57" s="6"/>
      <c r="BD57" s="179">
        <f t="shared" si="55"/>
        <v>0.25488040680113816</v>
      </c>
      <c r="BE57" s="179">
        <f t="shared" si="96"/>
        <v>1.0794281235456333</v>
      </c>
      <c r="BF57" s="179"/>
      <c r="BG57" s="546">
        <f t="shared" si="97"/>
        <v>2.2737407619889783E-2</v>
      </c>
      <c r="BH57" s="546">
        <f t="shared" si="98"/>
        <v>7.9990959020379282E-2</v>
      </c>
      <c r="BI57" s="546">
        <f t="shared" si="99"/>
        <v>4.3749999999999995E-3</v>
      </c>
      <c r="BJ57" s="546">
        <f t="shared" si="100"/>
        <v>2.7860175000000001E-2</v>
      </c>
      <c r="BK57">
        <f t="shared" si="101"/>
        <v>6.96E-3</v>
      </c>
      <c r="BL57" s="546">
        <f t="shared" si="102"/>
        <v>0.14614449277102975</v>
      </c>
      <c r="BM57" s="472">
        <f t="shared" si="56"/>
        <v>146.14449277102975</v>
      </c>
      <c r="BN57" s="546">
        <f t="shared" si="103"/>
        <v>0.20176000000000002</v>
      </c>
      <c r="BO57" s="546"/>
      <c r="BQ57" s="472">
        <f t="shared" si="57"/>
        <v>201.76000000000002</v>
      </c>
      <c r="BR57" s="546">
        <f t="shared" si="104"/>
        <v>1.2992804354222735E-2</v>
      </c>
      <c r="BS57" s="546">
        <f t="shared" si="105"/>
        <v>4.6606602956049889E-2</v>
      </c>
      <c r="BT57" s="546">
        <f t="shared" si="106"/>
        <v>5.8409954199418843E-2</v>
      </c>
      <c r="BU57" s="546">
        <f t="shared" si="107"/>
        <v>0.12576091245453133</v>
      </c>
      <c r="BV57" s="546">
        <f t="shared" si="108"/>
        <v>2.0414814814814816E-2</v>
      </c>
      <c r="BW57" s="472">
        <f t="shared" si="58"/>
        <v>146.17572726934614</v>
      </c>
      <c r="BX57" s="179">
        <f t="shared" si="59"/>
        <v>0.49408022004037594</v>
      </c>
      <c r="BY57" s="6">
        <f t="shared" si="60"/>
        <v>2.6</v>
      </c>
      <c r="BZ57" s="179">
        <f t="shared" si="61"/>
        <v>0.84031434710702857</v>
      </c>
      <c r="CA57" s="6">
        <f t="shared" si="62"/>
        <v>84.031434710702854</v>
      </c>
      <c r="CD57" s="581">
        <f t="shared" si="109"/>
        <v>-50</v>
      </c>
      <c r="CE57">
        <f t="shared" si="110"/>
        <v>-50</v>
      </c>
    </row>
    <row r="58" spans="5:83" x14ac:dyDescent="0.2">
      <c r="E58" s="176">
        <v>53</v>
      </c>
      <c r="F58" s="223">
        <f t="shared" si="111"/>
        <v>0.53</v>
      </c>
      <c r="G58" s="223"/>
      <c r="H58" s="223">
        <f t="shared" si="64"/>
        <v>2.6500000000000004</v>
      </c>
      <c r="I58" s="559">
        <f t="shared" si="65"/>
        <v>24</v>
      </c>
      <c r="J58" s="178">
        <f t="shared" si="66"/>
        <v>15.899999999999999</v>
      </c>
      <c r="K58" s="454">
        <f t="shared" si="67"/>
        <v>39.9</v>
      </c>
      <c r="L58" s="454"/>
      <c r="M58" s="223">
        <f t="shared" si="68"/>
        <v>0.39849624060150374</v>
      </c>
      <c r="N58" s="178">
        <f t="shared" si="5"/>
        <v>6.4556390977443598</v>
      </c>
      <c r="O58" s="178">
        <f t="shared" si="49"/>
        <v>2.6500000000000004</v>
      </c>
      <c r="P58" s="223">
        <f t="shared" si="69"/>
        <v>1.291127819548872</v>
      </c>
      <c r="Q58" s="223">
        <f t="shared" si="70"/>
        <v>5</v>
      </c>
      <c r="R58" s="223">
        <f t="shared" si="71"/>
        <v>1.4345864661654135</v>
      </c>
      <c r="S58" s="178">
        <f t="shared" si="72"/>
        <v>22.67051948262953</v>
      </c>
      <c r="T58" s="178">
        <f t="shared" si="73"/>
        <v>5</v>
      </c>
      <c r="U58" s="223">
        <f t="shared" si="74"/>
        <v>0.61574074074074081</v>
      </c>
      <c r="V58" s="223">
        <f t="shared" si="75"/>
        <v>0.76967592592592593</v>
      </c>
      <c r="W58" s="223">
        <f t="shared" si="76"/>
        <v>1.1617749825296997</v>
      </c>
      <c r="X58" s="203">
        <f t="shared" si="77"/>
        <v>350</v>
      </c>
      <c r="Y58" s="454">
        <f t="shared" si="50"/>
        <v>350</v>
      </c>
      <c r="AA58" s="223">
        <f t="shared" si="78"/>
        <v>0.91084854994629427</v>
      </c>
      <c r="AB58" s="179">
        <f t="shared" si="79"/>
        <v>1.7185821697099894</v>
      </c>
      <c r="AC58" s="179">
        <f t="shared" si="80"/>
        <v>0.82181824055304764</v>
      </c>
      <c r="AD58" s="179"/>
      <c r="AE58" s="179">
        <f t="shared" si="81"/>
        <v>0.5660377358490567</v>
      </c>
      <c r="AF58" s="563">
        <f t="shared" si="112"/>
        <v>2080.7407407407404</v>
      </c>
      <c r="AG58" s="546">
        <f t="shared" si="82"/>
        <v>8.9150943396226423E-2</v>
      </c>
      <c r="AI58" s="179">
        <f t="shared" si="83"/>
        <v>0.77103654550050638</v>
      </c>
      <c r="AJ58" s="179">
        <f t="shared" si="84"/>
        <v>0.77103654550050638</v>
      </c>
      <c r="AK58" s="179">
        <f t="shared" si="85"/>
        <v>1.5489159596300046</v>
      </c>
      <c r="AM58" s="563">
        <f t="shared" si="86"/>
        <v>530</v>
      </c>
      <c r="AN58" s="472">
        <f t="shared" si="87"/>
        <v>350</v>
      </c>
      <c r="AP58">
        <f t="shared" si="88"/>
        <v>530</v>
      </c>
      <c r="AQ58" s="472">
        <f t="shared" si="89"/>
        <v>350</v>
      </c>
      <c r="AR58" s="472"/>
      <c r="AS58" s="6">
        <f t="shared" si="51"/>
        <v>2.8571428571428572</v>
      </c>
      <c r="AT58" s="6">
        <f t="shared" si="90"/>
        <v>0.96379568187563314</v>
      </c>
      <c r="AU58" s="6">
        <f t="shared" si="52"/>
        <v>1.8933471752672242</v>
      </c>
      <c r="AV58" s="6">
        <f t="shared" si="91"/>
        <v>1.4547859349066161</v>
      </c>
      <c r="AW58" s="179">
        <f t="shared" si="53"/>
        <v>0.33732848865647158</v>
      </c>
      <c r="AX58" s="179">
        <f t="shared" si="92"/>
        <v>3.1211111111111105</v>
      </c>
      <c r="AY58" s="179">
        <f t="shared" si="93"/>
        <v>0.76641592936187064</v>
      </c>
      <c r="AZ58" s="179">
        <f t="shared" si="54"/>
        <v>4.0723463481634496</v>
      </c>
      <c r="BA58" s="472">
        <f t="shared" si="94"/>
        <v>10.216234227881712</v>
      </c>
      <c r="BB58" s="6">
        <f t="shared" si="95"/>
        <v>0.19357137401458888</v>
      </c>
      <c r="BC58" s="6"/>
      <c r="BD58" s="179">
        <f t="shared" si="55"/>
        <v>0.25854779964438762</v>
      </c>
      <c r="BE58" s="179">
        <f t="shared" si="96"/>
        <v>1.087138161037259</v>
      </c>
      <c r="BF58" s="179"/>
      <c r="BG58" s="546">
        <f t="shared" si="97"/>
        <v>2.3396437645334039E-2</v>
      </c>
      <c r="BH58" s="546">
        <f t="shared" si="98"/>
        <v>8.0756440184359277E-2</v>
      </c>
      <c r="BI58" s="546">
        <f t="shared" si="99"/>
        <v>4.3749999999999995E-3</v>
      </c>
      <c r="BJ58" s="546">
        <f t="shared" si="100"/>
        <v>2.7860175000000001E-2</v>
      </c>
      <c r="BK58">
        <f t="shared" si="101"/>
        <v>6.96E-3</v>
      </c>
      <c r="BL58" s="546">
        <f t="shared" si="102"/>
        <v>0.14770398830006093</v>
      </c>
      <c r="BM58" s="472">
        <f t="shared" si="56"/>
        <v>147.70398830006093</v>
      </c>
      <c r="BN58" s="546">
        <f t="shared" si="103"/>
        <v>0.20564000000000002</v>
      </c>
      <c r="BO58" s="546"/>
      <c r="BQ58" s="472">
        <f t="shared" si="57"/>
        <v>205.64000000000001</v>
      </c>
      <c r="BR58" s="546">
        <f t="shared" si="104"/>
        <v>1.3369392940190881E-2</v>
      </c>
      <c r="BS58" s="546">
        <f t="shared" si="105"/>
        <v>4.7274775247338932E-2</v>
      </c>
      <c r="BT58" s="546">
        <f t="shared" si="106"/>
        <v>5.9817398750432425E-2</v>
      </c>
      <c r="BU58" s="546">
        <f t="shared" si="107"/>
        <v>0.1283616178035781</v>
      </c>
      <c r="BV58" s="546">
        <f t="shared" si="108"/>
        <v>2.0807407407407403E-2</v>
      </c>
      <c r="BW58" s="472">
        <f t="shared" si="58"/>
        <v>149.16902521098552</v>
      </c>
      <c r="BX58" s="179">
        <f t="shared" si="59"/>
        <v>0.50251301351104649</v>
      </c>
      <c r="BY58" s="6">
        <f t="shared" si="60"/>
        <v>2.6500000000000004</v>
      </c>
      <c r="BZ58" s="179">
        <f t="shared" si="61"/>
        <v>0.84059922628158068</v>
      </c>
      <c r="CA58" s="6">
        <f t="shared" si="62"/>
        <v>84.059922628158063</v>
      </c>
      <c r="CD58" s="581">
        <f t="shared" si="109"/>
        <v>-50</v>
      </c>
      <c r="CE58">
        <f t="shared" si="110"/>
        <v>-50</v>
      </c>
    </row>
    <row r="59" spans="5:83" x14ac:dyDescent="0.2">
      <c r="E59" s="176">
        <v>54</v>
      </c>
      <c r="F59" s="223">
        <f t="shared" si="111"/>
        <v>0.54</v>
      </c>
      <c r="G59" s="223"/>
      <c r="H59" s="223">
        <f t="shared" si="64"/>
        <v>2.7</v>
      </c>
      <c r="I59" s="559">
        <f t="shared" si="65"/>
        <v>24</v>
      </c>
      <c r="J59" s="178">
        <f t="shared" si="66"/>
        <v>15.899999999999999</v>
      </c>
      <c r="K59" s="454">
        <f t="shared" si="67"/>
        <v>39.9</v>
      </c>
      <c r="L59" s="454"/>
      <c r="M59" s="223">
        <f t="shared" si="68"/>
        <v>0.39849624060150374</v>
      </c>
      <c r="N59" s="178">
        <f t="shared" si="5"/>
        <v>6.4556390977443598</v>
      </c>
      <c r="O59" s="178">
        <f t="shared" si="49"/>
        <v>2.7</v>
      </c>
      <c r="P59" s="223">
        <f t="shared" si="69"/>
        <v>1.291127819548872</v>
      </c>
      <c r="Q59" s="223">
        <f t="shared" si="70"/>
        <v>5</v>
      </c>
      <c r="R59" s="223">
        <f t="shared" si="71"/>
        <v>1.4345864661654135</v>
      </c>
      <c r="S59" s="178">
        <f t="shared" si="72"/>
        <v>22.10710886506833</v>
      </c>
      <c r="T59" s="178">
        <f t="shared" si="73"/>
        <v>5</v>
      </c>
      <c r="U59" s="223">
        <f t="shared" si="74"/>
        <v>0.62735849056603776</v>
      </c>
      <c r="V59" s="223">
        <f t="shared" si="75"/>
        <v>0.78419811320754718</v>
      </c>
      <c r="W59" s="223">
        <f t="shared" si="76"/>
        <v>1.1836952652189392</v>
      </c>
      <c r="X59" s="203">
        <f t="shared" si="77"/>
        <v>350</v>
      </c>
      <c r="Y59" s="454">
        <f t="shared" si="50"/>
        <v>350</v>
      </c>
      <c r="AA59" s="223">
        <f t="shared" si="78"/>
        <v>0.91084854994629427</v>
      </c>
      <c r="AB59" s="179">
        <f t="shared" si="79"/>
        <v>1.7185821697099894</v>
      </c>
      <c r="AC59" s="179">
        <f t="shared" si="80"/>
        <v>0.82181824055304764</v>
      </c>
      <c r="AD59" s="179"/>
      <c r="AE59" s="179">
        <f t="shared" si="81"/>
        <v>0.5660377358490567</v>
      </c>
      <c r="AF59" s="563">
        <f t="shared" si="112"/>
        <v>2119.9999999999995</v>
      </c>
      <c r="AG59" s="546">
        <f t="shared" si="82"/>
        <v>8.9150943396226423E-2</v>
      </c>
      <c r="AI59" s="179">
        <f t="shared" si="83"/>
        <v>0.7782764841072134</v>
      </c>
      <c r="AJ59" s="179">
        <f t="shared" si="84"/>
        <v>0.7782764841072134</v>
      </c>
      <c r="AK59" s="179">
        <f t="shared" si="85"/>
        <v>1.5542788771164544</v>
      </c>
      <c r="AM59" s="563">
        <f t="shared" si="86"/>
        <v>540</v>
      </c>
      <c r="AN59" s="472">
        <f t="shared" si="87"/>
        <v>350</v>
      </c>
      <c r="AP59">
        <f t="shared" si="88"/>
        <v>540</v>
      </c>
      <c r="AQ59" s="472">
        <f t="shared" si="89"/>
        <v>350</v>
      </c>
      <c r="AR59" s="472"/>
      <c r="AS59" s="6">
        <f t="shared" si="51"/>
        <v>2.8571428571428572</v>
      </c>
      <c r="AT59" s="6">
        <f t="shared" si="90"/>
        <v>0.97284560513401686</v>
      </c>
      <c r="AU59" s="6">
        <f t="shared" si="52"/>
        <v>1.8842972520088404</v>
      </c>
      <c r="AV59" s="6">
        <f t="shared" si="91"/>
        <v>1.4684461964287048</v>
      </c>
      <c r="AW59" s="179">
        <f t="shared" si="53"/>
        <v>0.34049596179690589</v>
      </c>
      <c r="AX59" s="179">
        <f t="shared" si="92"/>
        <v>3.1799999999999988</v>
      </c>
      <c r="AY59" s="179">
        <f t="shared" si="93"/>
        <v>0.76991472616082013</v>
      </c>
      <c r="AZ59" s="179">
        <f t="shared" si="54"/>
        <v>4.1303275440087619</v>
      </c>
      <c r="BA59" s="472">
        <f t="shared" si="94"/>
        <v>10.506732535447382</v>
      </c>
      <c r="BB59" s="6">
        <f t="shared" si="95"/>
        <v>0.19628096375092083</v>
      </c>
      <c r="BC59" s="6"/>
      <c r="BD59" s="179">
        <f t="shared" si="55"/>
        <v>0.26219793305084838</v>
      </c>
      <c r="BE59" s="179">
        <f t="shared" si="96"/>
        <v>1.0947205361541468</v>
      </c>
      <c r="BF59" s="179"/>
      <c r="BG59" s="546">
        <f t="shared" si="97"/>
        <v>2.4061714633648004E-2</v>
      </c>
      <c r="BH59" s="546">
        <f t="shared" si="98"/>
        <v>8.1514733254179267E-2</v>
      </c>
      <c r="BI59" s="546">
        <f t="shared" si="99"/>
        <v>4.3749999999999995E-3</v>
      </c>
      <c r="BJ59" s="546">
        <f t="shared" si="100"/>
        <v>2.7860175000000001E-2</v>
      </c>
      <c r="BK59">
        <f t="shared" si="101"/>
        <v>6.96E-3</v>
      </c>
      <c r="BL59" s="546">
        <f t="shared" si="102"/>
        <v>0.14926442924552571</v>
      </c>
      <c r="BM59" s="472">
        <f t="shared" si="56"/>
        <v>149.26442924552572</v>
      </c>
      <c r="BN59" s="546">
        <f t="shared" si="103"/>
        <v>0.20952000000000001</v>
      </c>
      <c r="BO59" s="546"/>
      <c r="BQ59" s="472">
        <f t="shared" si="57"/>
        <v>209.52</v>
      </c>
      <c r="BR59" s="546">
        <f t="shared" si="104"/>
        <v>1.3749551219227434E-2</v>
      </c>
      <c r="BS59" s="546">
        <f t="shared" si="105"/>
        <v>4.7936522091104904E-2</v>
      </c>
      <c r="BT59" s="546">
        <f t="shared" si="106"/>
        <v>6.1231498219584832E-2</v>
      </c>
      <c r="BU59" s="546">
        <f t="shared" si="107"/>
        <v>0.13096620359404332</v>
      </c>
      <c r="BV59" s="546">
        <f t="shared" si="108"/>
        <v>2.1199999999999993E-2</v>
      </c>
      <c r="BW59" s="472">
        <f t="shared" si="58"/>
        <v>152.16620359404331</v>
      </c>
      <c r="BX59" s="179">
        <f t="shared" si="59"/>
        <v>0.51095063283956899</v>
      </c>
      <c r="BY59" s="6">
        <f t="shared" si="60"/>
        <v>2.7</v>
      </c>
      <c r="BZ59" s="179">
        <f t="shared" si="61"/>
        <v>0.84087247321279579</v>
      </c>
      <c r="CA59" s="6">
        <f t="shared" si="62"/>
        <v>84.087247321279577</v>
      </c>
      <c r="CD59" s="581">
        <f t="shared" si="109"/>
        <v>-50</v>
      </c>
      <c r="CE59">
        <f t="shared" si="110"/>
        <v>-50</v>
      </c>
    </row>
    <row r="60" spans="5:83" x14ac:dyDescent="0.2">
      <c r="E60" s="176">
        <v>55</v>
      </c>
      <c r="F60" s="223">
        <f t="shared" si="111"/>
        <v>0.55000000000000004</v>
      </c>
      <c r="G60" s="223"/>
      <c r="H60" s="223">
        <f t="shared" si="64"/>
        <v>2.75</v>
      </c>
      <c r="I60" s="559">
        <f t="shared" si="65"/>
        <v>24</v>
      </c>
      <c r="J60" s="178">
        <f t="shared" si="66"/>
        <v>15.899999999999999</v>
      </c>
      <c r="K60" s="454">
        <f t="shared" si="67"/>
        <v>39.9</v>
      </c>
      <c r="L60" s="454"/>
      <c r="M60" s="223">
        <f t="shared" si="68"/>
        <v>0.39849624060150374</v>
      </c>
      <c r="N60" s="178">
        <f t="shared" si="5"/>
        <v>6.4556390977443598</v>
      </c>
      <c r="O60" s="178">
        <f t="shared" si="49"/>
        <v>2.75</v>
      </c>
      <c r="P60" s="223">
        <f t="shared" si="69"/>
        <v>1.291127819548872</v>
      </c>
      <c r="Q60" s="223">
        <f t="shared" si="70"/>
        <v>5</v>
      </c>
      <c r="R60" s="223">
        <f t="shared" si="71"/>
        <v>1.4345864661654135</v>
      </c>
      <c r="S60" s="178">
        <f t="shared" si="72"/>
        <v>21.564313365382294</v>
      </c>
      <c r="T60" s="178">
        <f t="shared" si="73"/>
        <v>5</v>
      </c>
      <c r="U60" s="223">
        <f t="shared" si="74"/>
        <v>0.63897624039133472</v>
      </c>
      <c r="V60" s="223">
        <f t="shared" si="75"/>
        <v>0.79872030048916842</v>
      </c>
      <c r="W60" s="223">
        <f t="shared" si="76"/>
        <v>1.2056155479081789</v>
      </c>
      <c r="X60" s="203">
        <f t="shared" si="77"/>
        <v>350</v>
      </c>
      <c r="Y60" s="454">
        <f t="shared" si="50"/>
        <v>350</v>
      </c>
      <c r="AA60" s="223">
        <f t="shared" si="78"/>
        <v>0.91084854994629427</v>
      </c>
      <c r="AB60" s="179">
        <f t="shared" si="79"/>
        <v>1.7185821697099894</v>
      </c>
      <c r="AC60" s="179">
        <f t="shared" si="80"/>
        <v>0.82181824055304764</v>
      </c>
      <c r="AD60" s="179"/>
      <c r="AE60" s="179">
        <f t="shared" si="81"/>
        <v>0.5660377358490567</v>
      </c>
      <c r="AF60" s="563">
        <f t="shared" si="112"/>
        <v>2159.2592592592587</v>
      </c>
      <c r="AG60" s="546">
        <f t="shared" si="82"/>
        <v>8.9150943396226423E-2</v>
      </c>
      <c r="AI60" s="179">
        <f t="shared" si="83"/>
        <v>0.78544969089765193</v>
      </c>
      <c r="AJ60" s="179">
        <f t="shared" si="84"/>
        <v>0.78544969089765193</v>
      </c>
      <c r="AK60" s="179">
        <f t="shared" si="85"/>
        <v>1.5595923636278903</v>
      </c>
      <c r="AM60" s="563">
        <f t="shared" si="86"/>
        <v>550</v>
      </c>
      <c r="AN60" s="472">
        <f t="shared" si="87"/>
        <v>350</v>
      </c>
      <c r="AP60">
        <f t="shared" si="88"/>
        <v>550</v>
      </c>
      <c r="AQ60">
        <f t="shared" si="89"/>
        <v>350</v>
      </c>
      <c r="AS60" s="6">
        <f t="shared" si="51"/>
        <v>2.8571428571428572</v>
      </c>
      <c r="AT60" s="6">
        <f t="shared" si="90"/>
        <v>0.98181211362206489</v>
      </c>
      <c r="AU60" s="6">
        <f t="shared" si="52"/>
        <v>1.8753307435207924</v>
      </c>
      <c r="AV60" s="6">
        <f t="shared" si="91"/>
        <v>1.4819805488634943</v>
      </c>
      <c r="AW60" s="179">
        <f t="shared" si="53"/>
        <v>0.34363423976772273</v>
      </c>
      <c r="AX60" s="179">
        <f t="shared" si="92"/>
        <v>3.2388888888888898</v>
      </c>
      <c r="AY60" s="179">
        <f t="shared" si="93"/>
        <v>0.77331342523536672</v>
      </c>
      <c r="AZ60" s="179">
        <f t="shared" si="54"/>
        <v>4.1883262118501268</v>
      </c>
      <c r="BA60" s="472">
        <f t="shared" si="94"/>
        <v>10.799933249842715</v>
      </c>
      <c r="BB60" s="6">
        <f t="shared" si="95"/>
        <v>0.19896448860656549</v>
      </c>
      <c r="BC60" s="6"/>
      <c r="BD60" s="179">
        <f t="shared" si="55"/>
        <v>0.26583120566701396</v>
      </c>
      <c r="BE60" s="179">
        <f t="shared" si="96"/>
        <v>1.1021785615934681</v>
      </c>
      <c r="BF60" s="179"/>
      <c r="BG60" s="546">
        <f t="shared" si="97"/>
        <v>2.4733180467232396E-2</v>
      </c>
      <c r="BH60" s="546">
        <f t="shared" si="98"/>
        <v>8.2266037000392811E-2</v>
      </c>
      <c r="BI60" s="546">
        <f t="shared" si="99"/>
        <v>4.3749999999999995E-3</v>
      </c>
      <c r="BJ60" s="546">
        <f t="shared" si="100"/>
        <v>2.7860175000000001E-2</v>
      </c>
      <c r="BK60">
        <f t="shared" si="101"/>
        <v>6.96E-3</v>
      </c>
      <c r="BL60" s="546">
        <f t="shared" si="102"/>
        <v>0.15082595737907098</v>
      </c>
      <c r="BM60" s="472">
        <f t="shared" si="56"/>
        <v>150.82595737907099</v>
      </c>
      <c r="BN60" s="546">
        <f t="shared" si="103"/>
        <v>0.21340000000000003</v>
      </c>
      <c r="BO60" s="546"/>
      <c r="BQ60" s="472">
        <f t="shared" si="57"/>
        <v>213.40000000000003</v>
      </c>
      <c r="BR60" s="546">
        <f t="shared" si="104"/>
        <v>1.4133245981275655E-2</v>
      </c>
      <c r="BS60" s="546">
        <f t="shared" si="105"/>
        <v>4.8591903265449848E-2</v>
      </c>
      <c r="BT60" s="546">
        <f t="shared" si="106"/>
        <v>6.2652159952454309E-2</v>
      </c>
      <c r="BU60" s="546">
        <f t="shared" si="107"/>
        <v>0.1335746060769267</v>
      </c>
      <c r="BV60" s="546">
        <f t="shared" si="108"/>
        <v>2.1592592592592601E-2</v>
      </c>
      <c r="BW60" s="472">
        <f t="shared" si="58"/>
        <v>155.16719866951931</v>
      </c>
      <c r="BX60" s="179">
        <f t="shared" si="59"/>
        <v>0.51939315604859038</v>
      </c>
      <c r="BY60" s="6">
        <f t="shared" si="60"/>
        <v>2.75</v>
      </c>
      <c r="BZ60" s="179">
        <f t="shared" si="61"/>
        <v>0.84113469036671862</v>
      </c>
      <c r="CA60" s="6">
        <f t="shared" si="62"/>
        <v>84.113469036671859</v>
      </c>
      <c r="CD60" s="581">
        <f t="shared" si="109"/>
        <v>-50</v>
      </c>
      <c r="CE60">
        <f t="shared" si="110"/>
        <v>-50</v>
      </c>
    </row>
    <row r="61" spans="5:83" x14ac:dyDescent="0.2">
      <c r="E61" s="176">
        <v>56</v>
      </c>
      <c r="F61" s="223">
        <f t="shared" si="111"/>
        <v>0.56000000000000005</v>
      </c>
      <c r="G61" s="223"/>
      <c r="H61" s="223">
        <f t="shared" si="64"/>
        <v>2.8000000000000003</v>
      </c>
      <c r="I61" s="559">
        <f t="shared" si="65"/>
        <v>24</v>
      </c>
      <c r="J61" s="178">
        <f t="shared" si="66"/>
        <v>15.899999999999999</v>
      </c>
      <c r="K61" s="454">
        <f t="shared" si="67"/>
        <v>39.9</v>
      </c>
      <c r="L61" s="454"/>
      <c r="M61" s="223">
        <f t="shared" si="68"/>
        <v>0.39849624060150374</v>
      </c>
      <c r="N61" s="178">
        <f t="shared" si="5"/>
        <v>6.4556390977443598</v>
      </c>
      <c r="O61" s="178">
        <f t="shared" si="49"/>
        <v>2.8000000000000003</v>
      </c>
      <c r="P61" s="223">
        <f t="shared" si="69"/>
        <v>1.291127819548872</v>
      </c>
      <c r="Q61" s="223">
        <f t="shared" si="70"/>
        <v>5</v>
      </c>
      <c r="R61" s="223">
        <f t="shared" si="71"/>
        <v>1.4345864661654135</v>
      </c>
      <c r="S61" s="178">
        <f t="shared" si="72"/>
        <v>21.041030850835281</v>
      </c>
      <c r="T61" s="178">
        <f t="shared" si="73"/>
        <v>5</v>
      </c>
      <c r="U61" s="223">
        <f t="shared" si="74"/>
        <v>0.65059399021663178</v>
      </c>
      <c r="V61" s="223">
        <f t="shared" si="75"/>
        <v>0.81324248777078967</v>
      </c>
      <c r="W61" s="223">
        <f t="shared" si="76"/>
        <v>1.2275358305974184</v>
      </c>
      <c r="X61" s="203">
        <f t="shared" si="77"/>
        <v>350</v>
      </c>
      <c r="Y61" s="454">
        <f t="shared" si="50"/>
        <v>350</v>
      </c>
      <c r="AA61" s="223">
        <f t="shared" si="78"/>
        <v>0.91084854994629427</v>
      </c>
      <c r="AB61" s="179">
        <f t="shared" si="79"/>
        <v>1.7185821697099894</v>
      </c>
      <c r="AC61" s="179">
        <f t="shared" si="80"/>
        <v>0.82181824055304764</v>
      </c>
      <c r="AD61" s="179"/>
      <c r="AE61" s="179">
        <f t="shared" si="81"/>
        <v>0.5660377358490567</v>
      </c>
      <c r="AF61" s="563">
        <f t="shared" si="112"/>
        <v>2198.5185185185182</v>
      </c>
      <c r="AG61" s="546">
        <f t="shared" si="82"/>
        <v>8.9150943396226423E-2</v>
      </c>
      <c r="AI61" s="179">
        <f t="shared" si="83"/>
        <v>0.79255797778342252</v>
      </c>
      <c r="AJ61" s="179">
        <f t="shared" si="84"/>
        <v>0.79255797778342252</v>
      </c>
      <c r="AK61" s="179">
        <f t="shared" si="85"/>
        <v>1.5648577613210537</v>
      </c>
      <c r="AM61" s="563">
        <f t="shared" si="86"/>
        <v>560</v>
      </c>
      <c r="AN61" s="472">
        <f t="shared" si="87"/>
        <v>350</v>
      </c>
      <c r="AP61">
        <f t="shared" si="88"/>
        <v>560</v>
      </c>
      <c r="AQ61">
        <f t="shared" si="89"/>
        <v>350</v>
      </c>
      <c r="AS61" s="6">
        <f t="shared" si="51"/>
        <v>2.8571428571428572</v>
      </c>
      <c r="AT61" s="6">
        <f t="shared" si="90"/>
        <v>0.99069747222927829</v>
      </c>
      <c r="AU61" s="6">
        <f t="shared" si="52"/>
        <v>1.8664453849135789</v>
      </c>
      <c r="AV61" s="6">
        <f t="shared" si="91"/>
        <v>1.4953924109121182</v>
      </c>
      <c r="AW61" s="179">
        <f t="shared" si="53"/>
        <v>0.3467441152802474</v>
      </c>
      <c r="AX61" s="179">
        <f t="shared" si="92"/>
        <v>3.2977777777777773</v>
      </c>
      <c r="AY61" s="179">
        <f t="shared" si="93"/>
        <v>0.77661474445291157</v>
      </c>
      <c r="AZ61" s="179">
        <f t="shared" si="54"/>
        <v>4.2463496879664655</v>
      </c>
      <c r="BA61" s="472">
        <f t="shared" si="94"/>
        <v>11.095811688967919</v>
      </c>
      <c r="BB61" s="6">
        <f t="shared" si="95"/>
        <v>0.20162218664189893</v>
      </c>
      <c r="BC61" s="6"/>
      <c r="BD61" s="179">
        <f t="shared" si="55"/>
        <v>0.26944799986549994</v>
      </c>
      <c r="BE61" s="179">
        <f t="shared" si="96"/>
        <v>1.1095153999655787</v>
      </c>
      <c r="BF61" s="179"/>
      <c r="BG61" s="546">
        <f t="shared" si="97"/>
        <v>2.5410778621031457E-2</v>
      </c>
      <c r="BH61" s="546">
        <f t="shared" si="98"/>
        <v>8.3010541198091217E-2</v>
      </c>
      <c r="BI61" s="546">
        <f t="shared" si="99"/>
        <v>4.3749999999999995E-3</v>
      </c>
      <c r="BJ61" s="546">
        <f t="shared" si="100"/>
        <v>2.7860175000000001E-2</v>
      </c>
      <c r="BK61">
        <f t="shared" si="101"/>
        <v>6.96E-3</v>
      </c>
      <c r="BL61" s="546">
        <f t="shared" si="102"/>
        <v>0.15238870732515492</v>
      </c>
      <c r="BM61" s="472">
        <f t="shared" si="56"/>
        <v>152.38870732515491</v>
      </c>
      <c r="BN61" s="546">
        <f t="shared" si="103"/>
        <v>0.21728000000000003</v>
      </c>
      <c r="BO61" s="546"/>
      <c r="BQ61" s="472">
        <f t="shared" si="57"/>
        <v>217.28000000000003</v>
      </c>
      <c r="BR61" s="546">
        <f t="shared" si="104"/>
        <v>1.4520444926303692E-2</v>
      </c>
      <c r="BS61" s="546">
        <f t="shared" si="105"/>
        <v>4.9240976910431125E-2</v>
      </c>
      <c r="BT61" s="546">
        <f t="shared" si="106"/>
        <v>6.4079294249944171E-2</v>
      </c>
      <c r="BU61" s="546">
        <f t="shared" si="107"/>
        <v>0.13618676364189924</v>
      </c>
      <c r="BV61" s="546">
        <f t="shared" si="108"/>
        <v>2.1985185185185181E-2</v>
      </c>
      <c r="BW61" s="472">
        <f t="shared" si="58"/>
        <v>158.17194882708444</v>
      </c>
      <c r="BX61" s="179">
        <f t="shared" si="59"/>
        <v>0.52784065615223941</v>
      </c>
      <c r="BY61" s="6">
        <f t="shared" si="60"/>
        <v>2.8000000000000003</v>
      </c>
      <c r="BZ61" s="179">
        <f t="shared" si="61"/>
        <v>0.84138643922856982</v>
      </c>
      <c r="CA61" s="6">
        <f t="shared" si="62"/>
        <v>84.138643922856986</v>
      </c>
      <c r="CD61" s="581">
        <f t="shared" si="109"/>
        <v>-50</v>
      </c>
      <c r="CE61">
        <f t="shared" si="110"/>
        <v>-50</v>
      </c>
    </row>
    <row r="62" spans="5:83" x14ac:dyDescent="0.2">
      <c r="E62" s="176">
        <v>57</v>
      </c>
      <c r="F62" s="223">
        <f t="shared" si="111"/>
        <v>0.56999999999999995</v>
      </c>
      <c r="G62" s="223"/>
      <c r="H62" s="223">
        <f t="shared" si="64"/>
        <v>2.8499999999999996</v>
      </c>
      <c r="I62" s="559">
        <f t="shared" si="65"/>
        <v>24</v>
      </c>
      <c r="J62" s="178">
        <f t="shared" si="66"/>
        <v>15.899999999999999</v>
      </c>
      <c r="K62" s="454">
        <f t="shared" si="67"/>
        <v>39.9</v>
      </c>
      <c r="L62" s="454"/>
      <c r="M62" s="223">
        <f t="shared" si="68"/>
        <v>0.39849624060150374</v>
      </c>
      <c r="N62" s="178">
        <f t="shared" si="5"/>
        <v>6.4556390977443598</v>
      </c>
      <c r="O62" s="178">
        <f t="shared" si="49"/>
        <v>2.8499999999999996</v>
      </c>
      <c r="P62" s="223">
        <f t="shared" si="69"/>
        <v>1.291127819548872</v>
      </c>
      <c r="Q62" s="223">
        <f t="shared" si="70"/>
        <v>5</v>
      </c>
      <c r="R62" s="223">
        <f t="shared" si="71"/>
        <v>1.4345864661654135</v>
      </c>
      <c r="S62" s="178">
        <f t="shared" si="72"/>
        <v>20.53623658002293</v>
      </c>
      <c r="T62" s="178">
        <f t="shared" si="73"/>
        <v>5</v>
      </c>
      <c r="U62" s="223">
        <f t="shared" si="74"/>
        <v>0.66221174004192862</v>
      </c>
      <c r="V62" s="223">
        <f t="shared" si="75"/>
        <v>0.8277646750524108</v>
      </c>
      <c r="W62" s="223">
        <f t="shared" si="76"/>
        <v>1.249456113286658</v>
      </c>
      <c r="X62" s="203">
        <f t="shared" si="77"/>
        <v>350</v>
      </c>
      <c r="Y62" s="454">
        <f t="shared" si="50"/>
        <v>350</v>
      </c>
      <c r="AA62" s="223">
        <f t="shared" si="78"/>
        <v>0.91084854994629427</v>
      </c>
      <c r="AB62" s="179">
        <f t="shared" si="79"/>
        <v>1.7185821697099894</v>
      </c>
      <c r="AC62" s="179">
        <f t="shared" si="80"/>
        <v>0.82181824055304764</v>
      </c>
      <c r="AD62" s="179"/>
      <c r="AE62" s="179">
        <f t="shared" si="81"/>
        <v>0.5660377358490567</v>
      </c>
      <c r="AF62" s="563">
        <f t="shared" si="112"/>
        <v>2237.7777777777769</v>
      </c>
      <c r="AG62" s="546">
        <f t="shared" si="82"/>
        <v>8.9150943396226423E-2</v>
      </c>
      <c r="AI62" s="179">
        <f t="shared" si="83"/>
        <v>0.79960307613532811</v>
      </c>
      <c r="AJ62" s="179">
        <f t="shared" si="84"/>
        <v>0.79960307613532811</v>
      </c>
      <c r="AK62" s="179">
        <f t="shared" si="85"/>
        <v>1.5700763526928356</v>
      </c>
      <c r="AM62" s="563">
        <f t="shared" si="86"/>
        <v>570</v>
      </c>
      <c r="AN62" s="472">
        <f t="shared" si="87"/>
        <v>350</v>
      </c>
      <c r="AP62">
        <f t="shared" si="88"/>
        <v>570</v>
      </c>
      <c r="AQ62">
        <f t="shared" si="89"/>
        <v>350</v>
      </c>
      <c r="AS62" s="6">
        <f t="shared" si="51"/>
        <v>2.8571428571428572</v>
      </c>
      <c r="AT62" s="6">
        <f t="shared" si="90"/>
        <v>0.99950384516916013</v>
      </c>
      <c r="AU62" s="6">
        <f t="shared" si="52"/>
        <v>1.857639011973697</v>
      </c>
      <c r="AV62" s="6">
        <f t="shared" si="91"/>
        <v>1.5086850493119399</v>
      </c>
      <c r="AW62" s="179">
        <f t="shared" si="53"/>
        <v>0.34982634580920602</v>
      </c>
      <c r="AX62" s="179">
        <f t="shared" si="92"/>
        <v>3.3566666666666665</v>
      </c>
      <c r="AY62" s="179">
        <f t="shared" si="93"/>
        <v>0.77982128086965885</v>
      </c>
      <c r="AZ62" s="179">
        <f t="shared" si="54"/>
        <v>4.3044050592249832</v>
      </c>
      <c r="BA62" s="472">
        <f t="shared" si="94"/>
        <v>11.394343834928424</v>
      </c>
      <c r="BB62" s="6">
        <f t="shared" si="95"/>
        <v>0.20425428951099669</v>
      </c>
      <c r="BC62" s="6"/>
      <c r="BD62" s="179">
        <f t="shared" si="55"/>
        <v>0.27304868268759858</v>
      </c>
      <c r="BE62" s="179">
        <f t="shared" si="96"/>
        <v>1.1167340731070858</v>
      </c>
      <c r="BF62" s="179"/>
      <c r="BG62" s="546">
        <f t="shared" si="97"/>
        <v>2.6094454091101511E-2</v>
      </c>
      <c r="BH62" s="546">
        <f t="shared" si="98"/>
        <v>8.3748427186723914E-2</v>
      </c>
      <c r="BI62" s="546">
        <f t="shared" si="99"/>
        <v>4.3749999999999995E-3</v>
      </c>
      <c r="BJ62" s="546">
        <f t="shared" si="100"/>
        <v>2.7860175000000001E-2</v>
      </c>
      <c r="BK62">
        <f t="shared" si="101"/>
        <v>6.96E-3</v>
      </c>
      <c r="BL62" s="546">
        <f t="shared" si="102"/>
        <v>0.15395280703894587</v>
      </c>
      <c r="BM62" s="472">
        <f t="shared" si="56"/>
        <v>153.95280703894588</v>
      </c>
      <c r="BN62" s="546">
        <f t="shared" si="103"/>
        <v>0.22115999999999997</v>
      </c>
      <c r="BO62" s="546"/>
      <c r="BQ62" s="472">
        <f t="shared" si="57"/>
        <v>221.15999999999997</v>
      </c>
      <c r="BR62" s="546">
        <f t="shared" si="104"/>
        <v>1.4911116623486579E-2</v>
      </c>
      <c r="BS62" s="546">
        <f t="shared" si="105"/>
        <v>4.9883799601533683E-2</v>
      </c>
      <c r="BT62" s="546">
        <f t="shared" si="106"/>
        <v>6.5512814222797103E-2</v>
      </c>
      <c r="BU62" s="546">
        <f t="shared" si="107"/>
        <v>0.13880261670853525</v>
      </c>
      <c r="BV62" s="546">
        <f t="shared" si="108"/>
        <v>2.2377777777777781E-2</v>
      </c>
      <c r="BW62" s="472">
        <f t="shared" si="58"/>
        <v>161.18039448631302</v>
      </c>
      <c r="BX62" s="179">
        <f t="shared" si="59"/>
        <v>0.53629320152525894</v>
      </c>
      <c r="BY62" s="6">
        <f t="shared" si="60"/>
        <v>2.8499999999999996</v>
      </c>
      <c r="BZ62" s="179">
        <f t="shared" si="61"/>
        <v>0.84162824374342393</v>
      </c>
      <c r="CA62" s="6">
        <f t="shared" si="62"/>
        <v>84.162824374342392</v>
      </c>
      <c r="CD62" s="581">
        <f t="shared" si="109"/>
        <v>-50</v>
      </c>
      <c r="CE62">
        <f t="shared" si="110"/>
        <v>-50</v>
      </c>
    </row>
    <row r="63" spans="5:83" x14ac:dyDescent="0.2">
      <c r="E63" s="176">
        <v>58</v>
      </c>
      <c r="F63" s="223">
        <f t="shared" si="111"/>
        <v>0.57999999999999996</v>
      </c>
      <c r="G63" s="223"/>
      <c r="H63" s="223">
        <f t="shared" si="64"/>
        <v>2.9</v>
      </c>
      <c r="I63" s="559">
        <f t="shared" si="65"/>
        <v>24</v>
      </c>
      <c r="J63" s="178">
        <f t="shared" si="66"/>
        <v>15.899999999999999</v>
      </c>
      <c r="K63" s="454">
        <f t="shared" si="67"/>
        <v>39.9</v>
      </c>
      <c r="L63" s="454"/>
      <c r="M63" s="223">
        <f t="shared" si="68"/>
        <v>0.39849624060150374</v>
      </c>
      <c r="N63" s="178">
        <f t="shared" si="5"/>
        <v>6.4556390977443598</v>
      </c>
      <c r="O63" s="178">
        <f t="shared" si="49"/>
        <v>2.9</v>
      </c>
      <c r="P63" s="223">
        <f t="shared" si="69"/>
        <v>1.291127819548872</v>
      </c>
      <c r="Q63" s="223">
        <f t="shared" si="70"/>
        <v>5</v>
      </c>
      <c r="R63" s="223">
        <f t="shared" si="71"/>
        <v>1.4345864661654135</v>
      </c>
      <c r="S63" s="178">
        <f t="shared" si="72"/>
        <v>20.048976532383605</v>
      </c>
      <c r="T63" s="178">
        <f t="shared" si="73"/>
        <v>5</v>
      </c>
      <c r="U63" s="223">
        <f t="shared" si="74"/>
        <v>0.67382948986722568</v>
      </c>
      <c r="V63" s="223">
        <f t="shared" si="75"/>
        <v>0.84228686233403216</v>
      </c>
      <c r="W63" s="223">
        <f t="shared" si="76"/>
        <v>1.2713763959758979</v>
      </c>
      <c r="X63" s="203">
        <f t="shared" si="77"/>
        <v>350</v>
      </c>
      <c r="Y63" s="454">
        <f t="shared" si="50"/>
        <v>350</v>
      </c>
      <c r="AA63" s="223">
        <f t="shared" si="78"/>
        <v>0.91084854994629427</v>
      </c>
      <c r="AB63" s="179">
        <f t="shared" si="79"/>
        <v>1.7185821697099894</v>
      </c>
      <c r="AC63" s="179">
        <f t="shared" si="80"/>
        <v>0.82181824055304764</v>
      </c>
      <c r="AD63" s="179"/>
      <c r="AE63" s="179">
        <f t="shared" si="81"/>
        <v>0.5660377358490567</v>
      </c>
      <c r="AF63" s="563">
        <f t="shared" si="112"/>
        <v>2277.0370370370365</v>
      </c>
      <c r="AG63" s="546">
        <f t="shared" si="82"/>
        <v>8.9150943396226423E-2</v>
      </c>
      <c r="AI63" s="179">
        <f t="shared" si="83"/>
        <v>0.80658664170813699</v>
      </c>
      <c r="AJ63" s="179">
        <f t="shared" si="84"/>
        <v>0.80658664170813699</v>
      </c>
      <c r="AK63" s="179">
        <f t="shared" si="85"/>
        <v>1.5752493642282497</v>
      </c>
      <c r="AM63" s="563">
        <f t="shared" si="86"/>
        <v>580</v>
      </c>
      <c r="AN63" s="472">
        <f t="shared" si="87"/>
        <v>350</v>
      </c>
      <c r="AP63">
        <f t="shared" si="88"/>
        <v>580</v>
      </c>
      <c r="AQ63">
        <f t="shared" si="89"/>
        <v>350</v>
      </c>
      <c r="AS63" s="6">
        <f t="shared" si="51"/>
        <v>2.8571428571428572</v>
      </c>
      <c r="AT63" s="6">
        <f t="shared" si="90"/>
        <v>1.0082333021351713</v>
      </c>
      <c r="AU63" s="6">
        <f t="shared" si="52"/>
        <v>1.8489095550076859</v>
      </c>
      <c r="AV63" s="6">
        <f t="shared" si="91"/>
        <v>1.5218615881285604</v>
      </c>
      <c r="AW63" s="179">
        <f t="shared" si="53"/>
        <v>0.35288165574730995</v>
      </c>
      <c r="AX63" s="179">
        <f t="shared" si="92"/>
        <v>3.4155555555555557</v>
      </c>
      <c r="AY63" s="179">
        <f t="shared" si="93"/>
        <v>0.78293551811776096</v>
      </c>
      <c r="AZ63" s="179">
        <f t="shared" si="54"/>
        <v>4.3624991797112767</v>
      </c>
      <c r="BA63" s="472">
        <f t="shared" si="94"/>
        <v>11.695506304767987</v>
      </c>
      <c r="BB63" s="6">
        <f t="shared" si="95"/>
        <v>0.20686102274391543</v>
      </c>
      <c r="BC63" s="6"/>
      <c r="BD63" s="179">
        <f t="shared" si="55"/>
        <v>0.27663360671569037</v>
      </c>
      <c r="BE63" s="179">
        <f t="shared" si="96"/>
        <v>1.1238374706625731</v>
      </c>
      <c r="BF63" s="179"/>
      <c r="BG63" s="546">
        <f t="shared" si="97"/>
        <v>2.6784153327585936E-2</v>
      </c>
      <c r="BH63" s="546">
        <f t="shared" si="98"/>
        <v>8.4479868385906001E-2</v>
      </c>
      <c r="BI63" s="546">
        <f t="shared" si="99"/>
        <v>4.3749999999999995E-3</v>
      </c>
      <c r="BJ63" s="546">
        <f t="shared" si="100"/>
        <v>2.7860175000000001E-2</v>
      </c>
      <c r="BK63">
        <f t="shared" si="101"/>
        <v>6.96E-3</v>
      </c>
      <c r="BL63" s="546">
        <f t="shared" si="102"/>
        <v>0.15551837824527001</v>
      </c>
      <c r="BM63" s="472">
        <f t="shared" si="56"/>
        <v>155.51837824527001</v>
      </c>
      <c r="BN63" s="546">
        <f t="shared" si="103"/>
        <v>0.22503999999999999</v>
      </c>
      <c r="BO63" s="546"/>
      <c r="BQ63" s="472">
        <f t="shared" si="57"/>
        <v>225.04</v>
      </c>
      <c r="BR63" s="546">
        <f t="shared" si="104"/>
        <v>1.5305230472906252E-2</v>
      </c>
      <c r="BS63" s="546">
        <f t="shared" si="105"/>
        <v>5.0520426418609994E-2</v>
      </c>
      <c r="BT63" s="546">
        <f t="shared" si="106"/>
        <v>6.6952635655704376E-2</v>
      </c>
      <c r="BU63" s="546">
        <f t="shared" si="107"/>
        <v>0.14142210762487378</v>
      </c>
      <c r="BV63" s="546">
        <f t="shared" si="108"/>
        <v>2.2770370370370375E-2</v>
      </c>
      <c r="BW63" s="472">
        <f t="shared" si="58"/>
        <v>164.19247799524416</v>
      </c>
      <c r="BX63" s="179">
        <f t="shared" si="59"/>
        <v>0.54475085624051411</v>
      </c>
      <c r="BY63" s="6">
        <f t="shared" si="60"/>
        <v>2.9</v>
      </c>
      <c r="BZ63" s="179">
        <f t="shared" si="61"/>
        <v>0.84186059341457364</v>
      </c>
      <c r="CA63" s="6">
        <f t="shared" si="62"/>
        <v>84.186059341457366</v>
      </c>
      <c r="CD63" s="581">
        <f t="shared" si="109"/>
        <v>-50</v>
      </c>
      <c r="CE63">
        <f t="shared" si="110"/>
        <v>-50</v>
      </c>
    </row>
    <row r="64" spans="5:83" x14ac:dyDescent="0.2">
      <c r="E64" s="176">
        <v>59</v>
      </c>
      <c r="F64" s="223">
        <f t="shared" si="111"/>
        <v>0.59</v>
      </c>
      <c r="G64" s="223"/>
      <c r="H64" s="223">
        <f t="shared" si="64"/>
        <v>2.9499999999999997</v>
      </c>
      <c r="I64" s="559">
        <f t="shared" si="65"/>
        <v>24</v>
      </c>
      <c r="J64" s="178">
        <f t="shared" si="66"/>
        <v>15.899999999999999</v>
      </c>
      <c r="K64" s="454">
        <f t="shared" si="67"/>
        <v>39.9</v>
      </c>
      <c r="L64" s="454"/>
      <c r="M64" s="223">
        <f t="shared" si="68"/>
        <v>0.39849624060150374</v>
      </c>
      <c r="N64" s="178">
        <f t="shared" si="5"/>
        <v>6.4556390977443598</v>
      </c>
      <c r="O64" s="178">
        <f t="shared" si="49"/>
        <v>2.9499999999999997</v>
      </c>
      <c r="P64" s="223">
        <f t="shared" si="69"/>
        <v>1.291127819548872</v>
      </c>
      <c r="Q64" s="223">
        <f t="shared" si="70"/>
        <v>5</v>
      </c>
      <c r="R64" s="223">
        <f t="shared" si="71"/>
        <v>1.4345864661654135</v>
      </c>
      <c r="S64" s="178">
        <f t="shared" si="72"/>
        <v>19.578361416092601</v>
      </c>
      <c r="T64" s="178">
        <f t="shared" si="73"/>
        <v>5</v>
      </c>
      <c r="U64" s="223">
        <f t="shared" si="74"/>
        <v>0.68544723969252264</v>
      </c>
      <c r="V64" s="223">
        <f t="shared" si="75"/>
        <v>0.8568090496156533</v>
      </c>
      <c r="W64" s="223">
        <f t="shared" si="76"/>
        <v>1.2932966786651372</v>
      </c>
      <c r="X64" s="203">
        <f t="shared" si="77"/>
        <v>350</v>
      </c>
      <c r="Y64" s="454">
        <f t="shared" si="50"/>
        <v>350</v>
      </c>
      <c r="AA64" s="223">
        <f t="shared" si="78"/>
        <v>0.91084854994629427</v>
      </c>
      <c r="AB64" s="179">
        <f t="shared" si="79"/>
        <v>1.7185821697099894</v>
      </c>
      <c r="AC64" s="179">
        <f t="shared" si="80"/>
        <v>0.82181824055304764</v>
      </c>
      <c r="AD64" s="179"/>
      <c r="AE64" s="179">
        <f t="shared" si="81"/>
        <v>0.5660377358490567</v>
      </c>
      <c r="AF64" s="563">
        <f t="shared" si="112"/>
        <v>2316.2962962962956</v>
      </c>
      <c r="AG64" s="546">
        <f t="shared" si="82"/>
        <v>8.9150943396226423E-2</v>
      </c>
      <c r="AI64" s="179">
        <f t="shared" si="83"/>
        <v>0.81351025918481301</v>
      </c>
      <c r="AJ64" s="179">
        <f t="shared" si="84"/>
        <v>0.81351025918481301</v>
      </c>
      <c r="AK64" s="179">
        <f t="shared" si="85"/>
        <v>1.5803779697665281</v>
      </c>
      <c r="AM64" s="563">
        <f t="shared" si="86"/>
        <v>590</v>
      </c>
      <c r="AN64" s="472">
        <f t="shared" si="87"/>
        <v>350</v>
      </c>
      <c r="AP64">
        <f t="shared" si="88"/>
        <v>590</v>
      </c>
      <c r="AQ64">
        <f t="shared" si="89"/>
        <v>350</v>
      </c>
      <c r="AS64" s="6">
        <f t="shared" si="51"/>
        <v>2.8571428571428572</v>
      </c>
      <c r="AT64" s="6">
        <f t="shared" si="90"/>
        <v>1.0168878239810164</v>
      </c>
      <c r="AU64" s="6">
        <f t="shared" si="52"/>
        <v>1.8402550331618408</v>
      </c>
      <c r="AV64" s="6">
        <f t="shared" si="91"/>
        <v>1.5349250173298361</v>
      </c>
      <c r="AW64" s="179">
        <f t="shared" si="53"/>
        <v>0.35591073839335574</v>
      </c>
      <c r="AX64" s="179">
        <f t="shared" si="92"/>
        <v>3.4744444444444436</v>
      </c>
      <c r="AY64" s="179">
        <f t="shared" si="93"/>
        <v>0.78595983322166396</v>
      </c>
      <c r="AZ64" s="179">
        <f t="shared" si="54"/>
        <v>4.4206386860797089</v>
      </c>
      <c r="BA64" s="472">
        <f t="shared" si="94"/>
        <v>11.999276322975993</v>
      </c>
      <c r="BB64" s="6">
        <f t="shared" si="95"/>
        <v>0.20944260601186068</v>
      </c>
      <c r="BC64" s="6"/>
      <c r="BD64" s="179">
        <f t="shared" si="55"/>
        <v>0.28020311088185229</v>
      </c>
      <c r="BE64" s="179">
        <f t="shared" si="96"/>
        <v>1.1308283580039973</v>
      </c>
      <c r="BF64" s="179"/>
      <c r="BG64" s="546">
        <f t="shared" si="97"/>
        <v>2.7479824171753663E-2</v>
      </c>
      <c r="BH64" s="546">
        <f t="shared" si="98"/>
        <v>8.5205030771369344E-2</v>
      </c>
      <c r="BI64" s="546">
        <f t="shared" si="99"/>
        <v>4.3749999999999995E-3</v>
      </c>
      <c r="BJ64" s="546">
        <f t="shared" si="100"/>
        <v>2.7860175000000001E-2</v>
      </c>
      <c r="BK64">
        <f t="shared" si="101"/>
        <v>6.96E-3</v>
      </c>
      <c r="BL64" s="546">
        <f t="shared" si="102"/>
        <v>0.15708553684237037</v>
      </c>
      <c r="BM64" s="472">
        <f t="shared" si="56"/>
        <v>157.08553684237037</v>
      </c>
      <c r="BN64" s="546">
        <f t="shared" si="103"/>
        <v>0.22891999999999998</v>
      </c>
      <c r="BO64" s="546"/>
      <c r="BQ64" s="472">
        <f t="shared" si="57"/>
        <v>228.92</v>
      </c>
      <c r="BR64" s="546">
        <f t="shared" si="104"/>
        <v>1.5702756669573523E-2</v>
      </c>
      <c r="BS64" s="546">
        <f t="shared" si="105"/>
        <v>5.1150911010640669E-2</v>
      </c>
      <c r="BT64" s="546">
        <f t="shared" si="106"/>
        <v>6.8398676880222678E-2</v>
      </c>
      <c r="BU64" s="546">
        <f t="shared" si="107"/>
        <v>0.14404518057269808</v>
      </c>
      <c r="BV64" s="546">
        <f t="shared" si="108"/>
        <v>2.3162962962962958E-2</v>
      </c>
      <c r="BW64" s="472">
        <f t="shared" si="58"/>
        <v>167.20814353566104</v>
      </c>
      <c r="BX64" s="179">
        <f t="shared" si="59"/>
        <v>0.55321368037803142</v>
      </c>
      <c r="BY64" s="6">
        <f t="shared" si="60"/>
        <v>2.9499999999999997</v>
      </c>
      <c r="BZ64" s="179">
        <f t="shared" si="61"/>
        <v>0.84208394609879067</v>
      </c>
      <c r="CA64" s="6">
        <f t="shared" si="62"/>
        <v>84.208394609879065</v>
      </c>
      <c r="CD64" s="581">
        <f t="shared" si="109"/>
        <v>-50</v>
      </c>
      <c r="CE64">
        <f t="shared" si="110"/>
        <v>-50</v>
      </c>
    </row>
    <row r="65" spans="5:83" x14ac:dyDescent="0.2">
      <c r="E65" s="176">
        <v>60</v>
      </c>
      <c r="F65" s="223">
        <f t="shared" si="111"/>
        <v>0.6</v>
      </c>
      <c r="G65" s="223"/>
      <c r="H65" s="223">
        <f t="shared" si="64"/>
        <v>3</v>
      </c>
      <c r="I65" s="559">
        <f t="shared" si="65"/>
        <v>24</v>
      </c>
      <c r="J65" s="178">
        <f t="shared" si="66"/>
        <v>15.899999999999999</v>
      </c>
      <c r="K65" s="454">
        <f t="shared" si="67"/>
        <v>39.9</v>
      </c>
      <c r="L65" s="454"/>
      <c r="M65" s="223">
        <f t="shared" si="68"/>
        <v>0.39849624060150374</v>
      </c>
      <c r="N65" s="178">
        <f t="shared" si="5"/>
        <v>6.4556390977443598</v>
      </c>
      <c r="O65" s="178">
        <f t="shared" si="49"/>
        <v>3</v>
      </c>
      <c r="P65" s="223">
        <f t="shared" si="69"/>
        <v>1.291127819548872</v>
      </c>
      <c r="Q65" s="223">
        <f t="shared" si="70"/>
        <v>5</v>
      </c>
      <c r="R65" s="223">
        <f t="shared" si="71"/>
        <v>1.4345864661654135</v>
      </c>
      <c r="S65" s="178">
        <f t="shared" si="72"/>
        <v>19.123561275195442</v>
      </c>
      <c r="T65" s="178">
        <f t="shared" si="73"/>
        <v>5</v>
      </c>
      <c r="U65" s="223">
        <f t="shared" si="74"/>
        <v>0.6970649895178197</v>
      </c>
      <c r="V65" s="223">
        <f t="shared" si="75"/>
        <v>0.87133123689727465</v>
      </c>
      <c r="W65" s="223">
        <f t="shared" si="76"/>
        <v>1.3152169613543769</v>
      </c>
      <c r="X65" s="203">
        <f t="shared" si="77"/>
        <v>350</v>
      </c>
      <c r="Y65" s="454">
        <f t="shared" si="50"/>
        <v>350</v>
      </c>
      <c r="AA65" s="223">
        <f t="shared" si="78"/>
        <v>0.91084854994629427</v>
      </c>
      <c r="AB65" s="179">
        <f t="shared" si="79"/>
        <v>1.7185821697099894</v>
      </c>
      <c r="AC65" s="179">
        <f t="shared" si="80"/>
        <v>0.82181824055304764</v>
      </c>
      <c r="AD65" s="179"/>
      <c r="AE65" s="179">
        <f t="shared" si="81"/>
        <v>0.5660377358490567</v>
      </c>
      <c r="AF65" s="563">
        <f t="shared" si="112"/>
        <v>2355.5555555555552</v>
      </c>
      <c r="AG65" s="546">
        <f t="shared" si="82"/>
        <v>8.9150943396226423E-2</v>
      </c>
      <c r="AI65" s="179">
        <f t="shared" si="83"/>
        <v>0.82037544637554394</v>
      </c>
      <c r="AJ65" s="179">
        <f t="shared" si="84"/>
        <v>0.82037544637554394</v>
      </c>
      <c r="AK65" s="179">
        <f t="shared" si="85"/>
        <v>1.5854632936115141</v>
      </c>
      <c r="AM65" s="563">
        <f t="shared" si="86"/>
        <v>600</v>
      </c>
      <c r="AN65" s="472">
        <f t="shared" si="87"/>
        <v>350</v>
      </c>
      <c r="AP65">
        <f t="shared" si="88"/>
        <v>600</v>
      </c>
      <c r="AQ65">
        <f t="shared" si="89"/>
        <v>350</v>
      </c>
      <c r="AS65" s="6">
        <f t="shared" si="51"/>
        <v>2.8571428571428572</v>
      </c>
      <c r="AT65" s="6">
        <f t="shared" si="90"/>
        <v>1.0254693079694299</v>
      </c>
      <c r="AU65" s="6">
        <f t="shared" si="52"/>
        <v>1.8316735491734273</v>
      </c>
      <c r="AV65" s="6">
        <f t="shared" si="91"/>
        <v>1.5478782007085736</v>
      </c>
      <c r="AW65" s="179">
        <f t="shared" si="53"/>
        <v>0.35891425778930047</v>
      </c>
      <c r="AX65" s="179">
        <f t="shared" si="92"/>
        <v>3.5333333333333332</v>
      </c>
      <c r="AY65" s="179">
        <f t="shared" si="93"/>
        <v>0.78889650289664925</v>
      </c>
      <c r="AZ65" s="179">
        <f t="shared" si="54"/>
        <v>4.4788300117439155</v>
      </c>
      <c r="BA65" s="472">
        <f t="shared" si="94"/>
        <v>12.30563169563316</v>
      </c>
      <c r="BB65" s="6">
        <f t="shared" si="95"/>
        <v>0.21199925337655404</v>
      </c>
      <c r="BC65" s="6"/>
      <c r="BD65" s="179">
        <f t="shared" si="55"/>
        <v>0.28375752121832831</v>
      </c>
      <c r="BE65" s="179">
        <f t="shared" si="96"/>
        <v>1.1377093835491945</v>
      </c>
      <c r="BF65" s="179"/>
      <c r="BG65" s="546">
        <f t="shared" si="97"/>
        <v>2.8181415796789511E-2</v>
      </c>
      <c r="BH65" s="546">
        <f t="shared" si="98"/>
        <v>8.5924073314758515E-2</v>
      </c>
      <c r="BI65" s="546">
        <f t="shared" si="99"/>
        <v>4.3749999999999995E-3</v>
      </c>
      <c r="BJ65" s="546">
        <f t="shared" si="100"/>
        <v>2.7860175000000001E-2</v>
      </c>
      <c r="BK65">
        <f t="shared" si="101"/>
        <v>6.96E-3</v>
      </c>
      <c r="BL65" s="546">
        <f t="shared" si="102"/>
        <v>0.15865439327382061</v>
      </c>
      <c r="BM65" s="472">
        <f t="shared" si="56"/>
        <v>158.6543932738206</v>
      </c>
      <c r="BN65" s="546">
        <f t="shared" si="103"/>
        <v>0.23279999999999998</v>
      </c>
      <c r="BO65" s="546"/>
      <c r="BQ65" s="472">
        <f t="shared" si="57"/>
        <v>232.79999999999998</v>
      </c>
      <c r="BR65" s="546">
        <f t="shared" si="104"/>
        <v>1.6103666169594008E-2</v>
      </c>
      <c r="BS65" s="546">
        <f t="shared" si="105"/>
        <v>5.1775305656635524E-2</v>
      </c>
      <c r="BT65" s="546">
        <f t="shared" si="106"/>
        <v>6.9850858655787537E-2</v>
      </c>
      <c r="BU65" s="546">
        <f t="shared" si="107"/>
        <v>0.14667178147898183</v>
      </c>
      <c r="BV65" s="546">
        <f t="shared" si="108"/>
        <v>2.3555555555555552E-2</v>
      </c>
      <c r="BW65" s="472">
        <f t="shared" si="58"/>
        <v>170.22733703453738</v>
      </c>
      <c r="BX65" s="179">
        <f t="shared" si="59"/>
        <v>0.561681730308358</v>
      </c>
      <c r="BY65" s="6">
        <f t="shared" si="60"/>
        <v>3</v>
      </c>
      <c r="BZ65" s="179">
        <f t="shared" si="61"/>
        <v>0.8422987305326326</v>
      </c>
      <c r="CA65" s="6">
        <f t="shared" si="62"/>
        <v>84.229873053263262</v>
      </c>
      <c r="CD65" s="581">
        <f t="shared" si="109"/>
        <v>-50</v>
      </c>
      <c r="CE65">
        <f t="shared" si="110"/>
        <v>-50</v>
      </c>
    </row>
    <row r="66" spans="5:83" x14ac:dyDescent="0.2">
      <c r="E66" s="176">
        <v>61</v>
      </c>
      <c r="F66" s="223">
        <f t="shared" si="111"/>
        <v>0.61</v>
      </c>
      <c r="G66" s="223"/>
      <c r="H66" s="223">
        <f t="shared" si="64"/>
        <v>3.05</v>
      </c>
      <c r="I66" s="559">
        <f t="shared" si="65"/>
        <v>24</v>
      </c>
      <c r="J66" s="178">
        <f t="shared" si="66"/>
        <v>15.899999999999999</v>
      </c>
      <c r="K66" s="454">
        <f t="shared" si="67"/>
        <v>39.9</v>
      </c>
      <c r="L66" s="454"/>
      <c r="M66" s="223">
        <f t="shared" si="68"/>
        <v>0.39849624060150374</v>
      </c>
      <c r="N66" s="178">
        <f t="shared" si="5"/>
        <v>6.4556390977443598</v>
      </c>
      <c r="O66" s="178">
        <f t="shared" si="49"/>
        <v>3.05</v>
      </c>
      <c r="P66" s="223">
        <f t="shared" si="69"/>
        <v>1.291127819548872</v>
      </c>
      <c r="Q66" s="223">
        <f t="shared" si="70"/>
        <v>5</v>
      </c>
      <c r="R66" s="223">
        <f t="shared" si="71"/>
        <v>1.4345864661654135</v>
      </c>
      <c r="S66" s="178">
        <f t="shared" si="72"/>
        <v>18.683800627215561</v>
      </c>
      <c r="T66" s="178">
        <f t="shared" si="73"/>
        <v>5</v>
      </c>
      <c r="U66" s="223">
        <f t="shared" si="74"/>
        <v>0.70868273934311665</v>
      </c>
      <c r="V66" s="223">
        <f t="shared" si="75"/>
        <v>0.88585342417889579</v>
      </c>
      <c r="W66" s="223">
        <f t="shared" si="76"/>
        <v>1.3371372440436164</v>
      </c>
      <c r="X66" s="203">
        <f t="shared" si="77"/>
        <v>350</v>
      </c>
      <c r="Y66" s="454">
        <f t="shared" si="50"/>
        <v>350</v>
      </c>
      <c r="AA66" s="223">
        <f t="shared" si="78"/>
        <v>0.91084854994629427</v>
      </c>
      <c r="AB66" s="179">
        <f t="shared" si="79"/>
        <v>1.7185821697099894</v>
      </c>
      <c r="AC66" s="179">
        <f t="shared" si="80"/>
        <v>0.82181824055304764</v>
      </c>
      <c r="AD66" s="179"/>
      <c r="AE66" s="179">
        <f t="shared" si="81"/>
        <v>0.5660377358490567</v>
      </c>
      <c r="AF66" s="563">
        <f t="shared" si="112"/>
        <v>2394.8148148148143</v>
      </c>
      <c r="AG66" s="546">
        <f t="shared" si="82"/>
        <v>8.9150943396226423E-2</v>
      </c>
      <c r="AI66" s="179">
        <f t="shared" si="83"/>
        <v>0.82718365810308658</v>
      </c>
      <c r="AJ66" s="179">
        <f t="shared" si="84"/>
        <v>0.82718365810308658</v>
      </c>
      <c r="AK66" s="179">
        <f t="shared" si="85"/>
        <v>1.5905064134096938</v>
      </c>
      <c r="AM66" s="563">
        <f t="shared" si="86"/>
        <v>610</v>
      </c>
      <c r="AN66" s="472">
        <f t="shared" si="87"/>
        <v>350</v>
      </c>
      <c r="AP66">
        <f t="shared" si="88"/>
        <v>610</v>
      </c>
      <c r="AQ66">
        <f t="shared" si="89"/>
        <v>350</v>
      </c>
      <c r="AS66" s="6">
        <f t="shared" si="51"/>
        <v>2.8571428571428572</v>
      </c>
      <c r="AT66" s="6">
        <f t="shared" si="90"/>
        <v>1.0339795726288583</v>
      </c>
      <c r="AU66" s="6">
        <f t="shared" si="52"/>
        <v>1.8231632845139989</v>
      </c>
      <c r="AV66" s="6">
        <f t="shared" si="91"/>
        <v>1.560723883213371</v>
      </c>
      <c r="AW66" s="179">
        <f t="shared" si="53"/>
        <v>0.36189285042010039</v>
      </c>
      <c r="AX66" s="179">
        <f t="shared" si="92"/>
        <v>3.5922222222222211</v>
      </c>
      <c r="AY66" s="179">
        <f t="shared" si="93"/>
        <v>0.79174770937685224</v>
      </c>
      <c r="AZ66" s="179">
        <f t="shared" si="54"/>
        <v>4.5370794000142949</v>
      </c>
      <c r="BA66" s="472">
        <f t="shared" si="94"/>
        <v>12.614550786072073</v>
      </c>
      <c r="BB66" s="6">
        <f t="shared" si="95"/>
        <v>0.21453117352498827</v>
      </c>
      <c r="BC66" s="6"/>
      <c r="BD66" s="179">
        <f t="shared" si="55"/>
        <v>0.28729715155494084</v>
      </c>
      <c r="BE66" s="179">
        <f t="shared" si="96"/>
        <v>1.1444830855343244</v>
      </c>
      <c r="BF66" s="179"/>
      <c r="BG66" s="546">
        <f t="shared" si="97"/>
        <v>2.8888878652053925E-2</v>
      </c>
      <c r="BH66" s="546">
        <f t="shared" si="98"/>
        <v>8.6637148390572016E-2</v>
      </c>
      <c r="BI66" s="546">
        <f t="shared" si="99"/>
        <v>4.3749999999999995E-3</v>
      </c>
      <c r="BJ66" s="546">
        <f t="shared" si="100"/>
        <v>2.7860175000000001E-2</v>
      </c>
      <c r="BK66">
        <f t="shared" si="101"/>
        <v>6.96E-3</v>
      </c>
      <c r="BL66" s="546">
        <f t="shared" si="102"/>
        <v>0.16022505287156921</v>
      </c>
      <c r="BM66" s="472">
        <f t="shared" si="56"/>
        <v>160.2250528715692</v>
      </c>
      <c r="BN66" s="546">
        <f t="shared" si="103"/>
        <v>0.23668</v>
      </c>
      <c r="BO66" s="546"/>
      <c r="BQ66" s="472">
        <f t="shared" si="57"/>
        <v>236.68</v>
      </c>
      <c r="BR66" s="546">
        <f t="shared" si="104"/>
        <v>1.650793065831653E-2</v>
      </c>
      <c r="BS66" s="546">
        <f t="shared" si="105"/>
        <v>5.239366132296671E-2</v>
      </c>
      <c r="BT66" s="546">
        <f t="shared" si="106"/>
        <v>7.1309104058180792E-2</v>
      </c>
      <c r="BU66" s="546">
        <f t="shared" si="107"/>
        <v>0.14930185793300582</v>
      </c>
      <c r="BV66" s="546">
        <f t="shared" si="108"/>
        <v>2.3948148148148145E-2</v>
      </c>
      <c r="BW66" s="472">
        <f t="shared" si="58"/>
        <v>173.25000608115397</v>
      </c>
      <c r="BX66" s="179">
        <f t="shared" si="59"/>
        <v>0.57015505895272323</v>
      </c>
      <c r="BY66" s="6">
        <f t="shared" si="60"/>
        <v>3.05</v>
      </c>
      <c r="BZ66" s="179">
        <f t="shared" si="61"/>
        <v>0.84250534861960746</v>
      </c>
      <c r="CA66" s="6">
        <f t="shared" si="62"/>
        <v>84.250534861960745</v>
      </c>
      <c r="CD66" s="581">
        <f t="shared" si="109"/>
        <v>-50</v>
      </c>
      <c r="CE66">
        <f t="shared" si="110"/>
        <v>-50</v>
      </c>
    </row>
    <row r="67" spans="5:83" x14ac:dyDescent="0.2">
      <c r="E67" s="176">
        <v>62</v>
      </c>
      <c r="F67" s="223">
        <f t="shared" si="111"/>
        <v>0.62</v>
      </c>
      <c r="G67" s="223"/>
      <c r="H67" s="223">
        <f t="shared" si="64"/>
        <v>3.1</v>
      </c>
      <c r="I67" s="559">
        <f t="shared" si="65"/>
        <v>24</v>
      </c>
      <c r="J67" s="178">
        <f t="shared" si="66"/>
        <v>15.899999999999999</v>
      </c>
      <c r="K67" s="454">
        <f t="shared" si="67"/>
        <v>39.9</v>
      </c>
      <c r="L67" s="454"/>
      <c r="M67" s="223">
        <f t="shared" si="68"/>
        <v>0.39849624060150374</v>
      </c>
      <c r="N67" s="178">
        <f t="shared" si="5"/>
        <v>6.4556390977443598</v>
      </c>
      <c r="O67" s="178">
        <f t="shared" si="49"/>
        <v>3.1</v>
      </c>
      <c r="P67" s="223">
        <f t="shared" si="69"/>
        <v>1.291127819548872</v>
      </c>
      <c r="Q67" s="223">
        <f t="shared" si="70"/>
        <v>5</v>
      </c>
      <c r="R67" s="223">
        <f t="shared" si="71"/>
        <v>1.4345864661654135</v>
      </c>
      <c r="S67" s="178">
        <f t="shared" si="72"/>
        <v>18.258354071344598</v>
      </c>
      <c r="T67" s="178">
        <f t="shared" si="73"/>
        <v>5</v>
      </c>
      <c r="U67" s="223">
        <f t="shared" si="74"/>
        <v>0.72030048916841372</v>
      </c>
      <c r="V67" s="223">
        <f t="shared" si="75"/>
        <v>0.90037561146051714</v>
      </c>
      <c r="W67" s="223">
        <f t="shared" si="76"/>
        <v>1.3590575267328562</v>
      </c>
      <c r="X67" s="203">
        <f t="shared" si="77"/>
        <v>350</v>
      </c>
      <c r="Y67" s="454">
        <f t="shared" si="50"/>
        <v>350</v>
      </c>
      <c r="AA67" s="223">
        <f t="shared" si="78"/>
        <v>0.91084854994629427</v>
      </c>
      <c r="AB67" s="179">
        <f t="shared" si="79"/>
        <v>1.7185821697099894</v>
      </c>
      <c r="AC67" s="179">
        <f t="shared" si="80"/>
        <v>0.82181824055304764</v>
      </c>
      <c r="AD67" s="179"/>
      <c r="AE67" s="179">
        <f t="shared" si="81"/>
        <v>0.5660377358490567</v>
      </c>
      <c r="AF67" s="563">
        <f t="shared" si="112"/>
        <v>2434.0740740740739</v>
      </c>
      <c r="AG67" s="546">
        <f t="shared" si="82"/>
        <v>8.9150943396226423E-2</v>
      </c>
      <c r="AI67" s="179">
        <f t="shared" si="83"/>
        <v>0.83393628980260559</v>
      </c>
      <c r="AJ67" s="179">
        <f t="shared" si="84"/>
        <v>0.83393628980260559</v>
      </c>
      <c r="AK67" s="179">
        <f t="shared" si="85"/>
        <v>1.5955083628167448</v>
      </c>
      <c r="AM67" s="563">
        <f t="shared" si="86"/>
        <v>620</v>
      </c>
      <c r="AN67" s="472">
        <f t="shared" si="87"/>
        <v>350</v>
      </c>
      <c r="AP67">
        <f t="shared" si="88"/>
        <v>620</v>
      </c>
      <c r="AQ67">
        <f t="shared" si="89"/>
        <v>350</v>
      </c>
      <c r="AS67" s="6">
        <f t="shared" si="51"/>
        <v>2.8571428571428572</v>
      </c>
      <c r="AT67" s="6">
        <f t="shared" si="90"/>
        <v>1.0424203622532571</v>
      </c>
      <c r="AU67" s="6">
        <f t="shared" si="52"/>
        <v>1.8147224948896001</v>
      </c>
      <c r="AV67" s="6">
        <f t="shared" si="91"/>
        <v>1.5734646977407654</v>
      </c>
      <c r="AW67" s="179">
        <f t="shared" si="53"/>
        <v>0.36484712678863995</v>
      </c>
      <c r="AX67" s="179">
        <f t="shared" si="92"/>
        <v>3.6511111111111112</v>
      </c>
      <c r="AY67" s="179">
        <f t="shared" si="93"/>
        <v>0.7945155458150196</v>
      </c>
      <c r="AZ67" s="179">
        <f t="shared" si="54"/>
        <v>4.5953929162780272</v>
      </c>
      <c r="BA67" s="472">
        <f t="shared" si="94"/>
        <v>12.926012491940389</v>
      </c>
      <c r="BB67" s="6">
        <f t="shared" si="95"/>
        <v>0.21703856999065432</v>
      </c>
      <c r="BC67" s="6"/>
      <c r="BD67" s="179">
        <f t="shared" si="55"/>
        <v>0.29082230416800092</v>
      </c>
      <c r="BE67" s="179">
        <f t="shared" si="96"/>
        <v>1.1511518982892481</v>
      </c>
      <c r="BF67" s="179"/>
      <c r="BG67" s="546">
        <f t="shared" si="97"/>
        <v>2.9602164410554837E-2</v>
      </c>
      <c r="BH67" s="546">
        <f t="shared" si="98"/>
        <v>8.7344402153200384E-2</v>
      </c>
      <c r="BI67" s="546">
        <f t="shared" si="99"/>
        <v>4.3749999999999995E-3</v>
      </c>
      <c r="BJ67" s="546">
        <f t="shared" si="100"/>
        <v>2.7860175000000001E-2</v>
      </c>
      <c r="BK67">
        <f t="shared" si="101"/>
        <v>6.96E-3</v>
      </c>
      <c r="BL67" s="546">
        <f t="shared" si="102"/>
        <v>0.16179761617277075</v>
      </c>
      <c r="BM67" s="472">
        <f t="shared" si="56"/>
        <v>161.79761617277074</v>
      </c>
      <c r="BN67" s="546">
        <f t="shared" si="103"/>
        <v>0.24056</v>
      </c>
      <c r="BO67" s="546"/>
      <c r="BQ67" s="472">
        <f t="shared" si="57"/>
        <v>240.56</v>
      </c>
      <c r="BR67" s="546">
        <f t="shared" si="104"/>
        <v>1.6915522520317052E-2</v>
      </c>
      <c r="BS67" s="546">
        <f t="shared" si="105"/>
        <v>5.3006027717397583E-2</v>
      </c>
      <c r="BT67" s="546">
        <f t="shared" si="106"/>
        <v>7.2773338374870516E-2</v>
      </c>
      <c r="BU67" s="546">
        <f t="shared" si="107"/>
        <v>0.15193535910869524</v>
      </c>
      <c r="BV67" s="546">
        <f t="shared" si="108"/>
        <v>2.4340740740740743E-2</v>
      </c>
      <c r="BW67" s="472">
        <f t="shared" si="58"/>
        <v>176.27609984943598</v>
      </c>
      <c r="BX67" s="179">
        <f t="shared" si="59"/>
        <v>0.57863371602220681</v>
      </c>
      <c r="BY67" s="6">
        <f t="shared" si="60"/>
        <v>3.1</v>
      </c>
      <c r="BZ67" s="179">
        <f t="shared" si="61"/>
        <v>0.84270417750427817</v>
      </c>
      <c r="CA67" s="6">
        <f t="shared" si="62"/>
        <v>84.270417750427811</v>
      </c>
      <c r="CD67" s="581">
        <f t="shared" si="109"/>
        <v>-50</v>
      </c>
      <c r="CE67">
        <f t="shared" si="110"/>
        <v>-50</v>
      </c>
    </row>
    <row r="68" spans="5:83" x14ac:dyDescent="0.2">
      <c r="E68" s="176">
        <v>63</v>
      </c>
      <c r="F68" s="223">
        <f t="shared" si="111"/>
        <v>0.63</v>
      </c>
      <c r="G68" s="223"/>
      <c r="H68" s="223">
        <f t="shared" si="64"/>
        <v>3.15</v>
      </c>
      <c r="I68" s="559">
        <f t="shared" si="65"/>
        <v>24</v>
      </c>
      <c r="J68" s="178">
        <f t="shared" si="66"/>
        <v>15.899999999999999</v>
      </c>
      <c r="K68" s="454">
        <f t="shared" si="67"/>
        <v>39.9</v>
      </c>
      <c r="L68" s="454"/>
      <c r="M68" s="223">
        <f t="shared" si="68"/>
        <v>0.39849624060150374</v>
      </c>
      <c r="N68" s="178">
        <f t="shared" si="5"/>
        <v>6.4556390977443598</v>
      </c>
      <c r="O68" s="178">
        <f t="shared" si="49"/>
        <v>3.15</v>
      </c>
      <c r="P68" s="223">
        <f t="shared" si="69"/>
        <v>1.291127819548872</v>
      </c>
      <c r="Q68" s="223">
        <f t="shared" si="70"/>
        <v>5</v>
      </c>
      <c r="R68" s="223">
        <f t="shared" si="71"/>
        <v>1.4345864661654135</v>
      </c>
      <c r="S68" s="178">
        <f t="shared" si="72"/>
        <v>17.846542314928893</v>
      </c>
      <c r="T68" s="178">
        <f t="shared" si="73"/>
        <v>5</v>
      </c>
      <c r="U68" s="223">
        <f t="shared" si="74"/>
        <v>0.73191823899371067</v>
      </c>
      <c r="V68" s="223">
        <f t="shared" si="75"/>
        <v>0.91489779874213839</v>
      </c>
      <c r="W68" s="223">
        <f t="shared" si="76"/>
        <v>1.3809778094220959</v>
      </c>
      <c r="X68" s="203">
        <f t="shared" si="77"/>
        <v>350</v>
      </c>
      <c r="Y68" s="454">
        <f t="shared" si="50"/>
        <v>350</v>
      </c>
      <c r="AA68" s="223">
        <f t="shared" si="78"/>
        <v>0.91084854994629427</v>
      </c>
      <c r="AB68" s="179">
        <f t="shared" si="79"/>
        <v>1.7185821697099894</v>
      </c>
      <c r="AC68" s="179">
        <f t="shared" si="80"/>
        <v>0.82181824055304764</v>
      </c>
      <c r="AD68" s="179"/>
      <c r="AE68" s="179">
        <f t="shared" si="81"/>
        <v>0.5660377358490567</v>
      </c>
      <c r="AF68" s="563">
        <f t="shared" si="112"/>
        <v>2473.333333333333</v>
      </c>
      <c r="AG68" s="546">
        <f t="shared" si="82"/>
        <v>8.9150943396226423E-2</v>
      </c>
      <c r="AI68" s="179">
        <f t="shared" si="83"/>
        <v>0.84063468086123272</v>
      </c>
      <c r="AJ68" s="179">
        <f t="shared" si="84"/>
        <v>0.84063468086123272</v>
      </c>
      <c r="AK68" s="179">
        <f t="shared" si="85"/>
        <v>1.6004701339712835</v>
      </c>
      <c r="AM68" s="563">
        <f t="shared" si="86"/>
        <v>630</v>
      </c>
      <c r="AN68" s="472">
        <f t="shared" si="87"/>
        <v>350</v>
      </c>
      <c r="AP68">
        <f t="shared" si="88"/>
        <v>630</v>
      </c>
      <c r="AQ68">
        <f t="shared" si="89"/>
        <v>350</v>
      </c>
      <c r="AS68" s="6">
        <f t="shared" si="51"/>
        <v>2.8571428571428572</v>
      </c>
      <c r="AT68" s="6">
        <f t="shared" si="90"/>
        <v>1.050793351076541</v>
      </c>
      <c r="AU68" s="6">
        <f t="shared" si="52"/>
        <v>1.8063495060663162</v>
      </c>
      <c r="AV68" s="6">
        <f t="shared" si="91"/>
        <v>1.5861031714362883</v>
      </c>
      <c r="AW68" s="179">
        <f t="shared" si="53"/>
        <v>0.36777767287678936</v>
      </c>
      <c r="AX68" s="179">
        <f t="shared" si="92"/>
        <v>3.7099999999999995</v>
      </c>
      <c r="AY68" s="179">
        <f t="shared" si="93"/>
        <v>0.79720202129184892</v>
      </c>
      <c r="AZ68" s="179">
        <f t="shared" si="54"/>
        <v>4.6537764593070445</v>
      </c>
      <c r="BA68" s="472">
        <f t="shared" si="94"/>
        <v>13.239996223564416</v>
      </c>
      <c r="BB68" s="6">
        <f t="shared" si="95"/>
        <v>0.21952164136222591</v>
      </c>
      <c r="BC68" s="6"/>
      <c r="BD68" s="179">
        <f t="shared" si="55"/>
        <v>0.29433327038481644</v>
      </c>
      <c r="BE68" s="179">
        <f t="shared" si="96"/>
        <v>1.1577181580597267</v>
      </c>
      <c r="BF68" s="179"/>
      <c r="BG68" s="546">
        <f t="shared" si="97"/>
        <v>3.032122591939751E-2</v>
      </c>
      <c r="BH68" s="546">
        <f t="shared" si="98"/>
        <v>8.8045974886703363E-2</v>
      </c>
      <c r="BI68" s="546">
        <f t="shared" si="99"/>
        <v>4.3749999999999995E-3</v>
      </c>
      <c r="BJ68" s="546">
        <f t="shared" si="100"/>
        <v>2.7860175000000001E-2</v>
      </c>
      <c r="BK68">
        <f t="shared" si="101"/>
        <v>6.96E-3</v>
      </c>
      <c r="BL68" s="546">
        <f t="shared" si="102"/>
        <v>0.16337217921277677</v>
      </c>
      <c r="BM68" s="472">
        <f t="shared" si="56"/>
        <v>163.37217921277679</v>
      </c>
      <c r="BN68" s="546">
        <f t="shared" si="103"/>
        <v>0.24443999999999999</v>
      </c>
      <c r="BO68" s="546"/>
      <c r="BQ68" s="472">
        <f t="shared" si="57"/>
        <v>244.44</v>
      </c>
      <c r="BR68" s="546">
        <f t="shared" si="104"/>
        <v>1.7326414811084292E-2</v>
      </c>
      <c r="BS68" s="546">
        <f t="shared" si="105"/>
        <v>5.3612453340048251E-2</v>
      </c>
      <c r="BT68" s="546">
        <f t="shared" si="106"/>
        <v>7.4243489006695099E-2</v>
      </c>
      <c r="BU68" s="546">
        <f t="shared" si="107"/>
        <v>0.15457223569176867</v>
      </c>
      <c r="BV68" s="546">
        <f t="shared" si="108"/>
        <v>2.4733333333333333E-2</v>
      </c>
      <c r="BW68" s="472">
        <f t="shared" si="58"/>
        <v>179.30556902510199</v>
      </c>
      <c r="BX68" s="179">
        <f t="shared" si="59"/>
        <v>0.58711774823787888</v>
      </c>
      <c r="BY68" s="6">
        <f t="shared" si="60"/>
        <v>3.15</v>
      </c>
      <c r="BZ68" s="179">
        <f t="shared" si="61"/>
        <v>0.8428955714561801</v>
      </c>
      <c r="CA68" s="6">
        <f t="shared" si="62"/>
        <v>84.289557145618005</v>
      </c>
      <c r="CD68" s="581">
        <f t="shared" si="109"/>
        <v>-50</v>
      </c>
      <c r="CE68">
        <f t="shared" si="110"/>
        <v>-50</v>
      </c>
    </row>
    <row r="69" spans="5:83" x14ac:dyDescent="0.2">
      <c r="E69" s="176">
        <v>64</v>
      </c>
      <c r="F69" s="223">
        <f t="shared" si="111"/>
        <v>0.64</v>
      </c>
      <c r="G69" s="223"/>
      <c r="H69" s="223">
        <f t="shared" ref="H69:H100" si="113">F69*Vout</f>
        <v>3.2</v>
      </c>
      <c r="I69" s="559">
        <f t="shared" ref="I69:I105" si="114">Vin</f>
        <v>24</v>
      </c>
      <c r="J69" s="178">
        <f t="shared" ref="J69:J105" si="115">(T69+Vfwd1)*Nps</f>
        <v>15.899999999999999</v>
      </c>
      <c r="K69" s="454">
        <f t="shared" ref="K69:K105" si="116">(Vout+Vfwd1)*Nps+I69</f>
        <v>39.9</v>
      </c>
      <c r="L69" s="454"/>
      <c r="M69" s="223">
        <f t="shared" ref="M69:M105" si="117">(Vout+Vfwd1)*Nps/((Vout+Vfwd1)*Nps+I69)</f>
        <v>0.39849624060150374</v>
      </c>
      <c r="N69" s="178">
        <f t="shared" ref="N69:N105" si="118">M69*I69*Isw_max*0.5*Efficiency</f>
        <v>6.4556390977443598</v>
      </c>
      <c r="O69" s="178">
        <f t="shared" si="49"/>
        <v>3.2</v>
      </c>
      <c r="P69" s="223">
        <f t="shared" ref="P69:P100" si="119">N69/Vout</f>
        <v>1.291127819548872</v>
      </c>
      <c r="Q69" s="223">
        <f t="shared" ref="Q69:Q105" si="120">MIN(Vout,N69/F69)</f>
        <v>5</v>
      </c>
      <c r="R69" s="223">
        <f t="shared" ref="R69:R100" si="121">Isw_max/2*I69*Nps*(Q69+Vfwd1)/Q69/(I69+Nps*(Q69+Vfwd1))</f>
        <v>1.4345864661654135</v>
      </c>
      <c r="S69" s="178">
        <f t="shared" ref="S69:S105" si="122">(SQRT(Isw_max^2*Nps^2*I69^2+4*Isw_max*F69/Efficiency*(Nps^2*Vfwd1*I69-Nps*I69^2)+4*(F69/Efficiency)^2*Nps^2*Vfwd1^2+8*(F69/Efficiency)^2*Nps*Vfwd1*I69+4*(F69/Efficiency)^2*I69^2)-2*F69/Efficiency*I69-2*F69/Efficiency*Nps*Vfwd1+Isw_max*Nps*I69)/(4*F69/Efficiency*Nps)</f>
        <v>17.447728572501308</v>
      </c>
      <c r="T69" s="178">
        <f t="shared" ref="T69:T100" si="123">MIN(Vout, S69)</f>
        <v>5</v>
      </c>
      <c r="U69" s="223">
        <f t="shared" ref="U69:U105" si="124">MIN(2*Vout*F69/(Efficiency*I69*M69), Isw_max)</f>
        <v>0.74353598881900773</v>
      </c>
      <c r="V69" s="223">
        <f t="shared" ref="V69:V100" si="125">L*U69/I69*1000000</f>
        <v>0.92941998602375964</v>
      </c>
      <c r="W69" s="223">
        <f t="shared" ref="W69:W105" si="126">L*U69/J69*1000000</f>
        <v>1.4028980921113354</v>
      </c>
      <c r="X69" s="203">
        <f t="shared" ref="X69:X105" si="127">IF(1/((350000*L)*(1/I69+1/J69))&gt;Isw_min, 350, 0.001/((Isw_min*L)*(1/I69+1/J69)))</f>
        <v>350</v>
      </c>
      <c r="Y69" s="454">
        <f t="shared" si="50"/>
        <v>350</v>
      </c>
      <c r="AA69" s="223">
        <f t="shared" ref="AA69:AA105" si="128">1/((X69*1000*L)*(1/I69+1/J69))</f>
        <v>0.91084854994629427</v>
      </c>
      <c r="AB69" s="179">
        <f t="shared" ref="AB69:AB100" si="129">L*AA69/J69*1000000</f>
        <v>1.7185821697099894</v>
      </c>
      <c r="AC69" s="179">
        <f t="shared" ref="AC69:AC100" si="130">0.5*AB69*AA69*Nps*X69/1000</f>
        <v>0.82181824055304764</v>
      </c>
      <c r="AD69" s="179"/>
      <c r="AE69" s="179">
        <f t="shared" ref="AE69:AE105" si="131">L*Isw_min/J69*1000000</f>
        <v>0.5660377358490567</v>
      </c>
      <c r="AF69" s="563">
        <f t="shared" si="112"/>
        <v>2512.5925925925922</v>
      </c>
      <c r="AG69" s="546">
        <f t="shared" ref="AG69:AG105" si="132">0.5*AE69/1000000*Isw_min*Nps*X69*1000</f>
        <v>8.9150943396226423E-2</v>
      </c>
      <c r="AI69" s="179">
        <f t="shared" ref="AI69:AI105" si="133">SQRT(F69/Efficiency/(0.5*L/J69*Fsw_DCM*Nps))</f>
        <v>0.84728011771998868</v>
      </c>
      <c r="AJ69" s="179">
        <f t="shared" ref="AJ69:AJ100" si="134">MAX(IF(F69&gt;AC69,U69,AI69),Isw_min)</f>
        <v>0.84728011771998868</v>
      </c>
      <c r="AK69" s="179">
        <f t="shared" ref="AK69:AK100" si="135">IF(F69&gt;AG69, (AJ69-Isw_min)/1.08*0.8+1.2, AF69*0.2/350+1)</f>
        <v>1.6053926797925842</v>
      </c>
      <c r="AM69" s="563">
        <f t="shared" ref="AM69:AM105" si="136">F69*1000</f>
        <v>640</v>
      </c>
      <c r="AN69" s="472">
        <f t="shared" ref="AN69:AN105" si="137">IF(F69&gt;AG69, Y69, AF69)</f>
        <v>350</v>
      </c>
      <c r="AP69">
        <f t="shared" ref="AP69:AP105" si="138">IF(H69&gt;N69, "",AM69)</f>
        <v>640</v>
      </c>
      <c r="AQ69">
        <f t="shared" ref="AQ69:AQ105" si="139">IF(H69&gt;N69, "",AN69)</f>
        <v>350</v>
      </c>
      <c r="AS69" s="6">
        <f t="shared" si="51"/>
        <v>2.8571428571428572</v>
      </c>
      <c r="AT69" s="6">
        <f t="shared" ref="AT69:AT105" si="140">L*AJ69/I69*1000000</f>
        <v>1.0591001471499859</v>
      </c>
      <c r="AU69" s="6">
        <f t="shared" si="52"/>
        <v>1.7980427099928713</v>
      </c>
      <c r="AV69" s="6">
        <f t="shared" ref="AV69:AV105" si="141">L*AJ69/J69*1000000</f>
        <v>1.5986417315471486</v>
      </c>
      <c r="AW69" s="179">
        <f t="shared" si="53"/>
        <v>0.37068505150249503</v>
      </c>
      <c r="AX69" s="179">
        <f t="shared" ref="AX69:AX132" si="142">0.5*L*AJ69^2*AN69*1000</f>
        <v>3.7688888888888887</v>
      </c>
      <c r="AY69" s="179">
        <f t="shared" ref="AY69:AY132" si="143">AJ69*Nps/2*(1-AW69)</f>
        <v>0.79980906546887176</v>
      </c>
      <c r="AZ69" s="179">
        <f t="shared" si="54"/>
        <v>4.712235771770672</v>
      </c>
      <c r="BA69" s="472">
        <f t="shared" ref="BA69:BA105" si="144">F69*AT69/Vout_ripple*1000</f>
        <v>13.556481883519821</v>
      </c>
      <c r="BB69" s="6">
        <f t="shared" ref="BB69:BB105" si="145">H69/Efficiency/I69*AU69/Vinripple1</f>
        <v>0.22198058148060137</v>
      </c>
      <c r="BC69" s="6"/>
      <c r="BD69" s="179">
        <f t="shared" si="55"/>
        <v>0.29783033114749402</v>
      </c>
      <c r="BE69" s="179">
        <f t="shared" ref="BE69:BE132" si="146">AJ69*Nps*SQRT((1-AW69)/3)</f>
        <v>1.1641841084158293</v>
      </c>
      <c r="BF69" s="179"/>
      <c r="BG69" s="546">
        <f t="shared" ref="BG69:BG105" si="147">Rdson*BD69^2</f>
        <v>3.1046017152999081E-2</v>
      </c>
      <c r="BH69" s="546">
        <f t="shared" ref="BH69:BH105" si="148">0.5*K69*AJ69*AN69*1000*Trise</f>
        <v>8.8742001329697312E-2</v>
      </c>
      <c r="BI69" s="546">
        <f t="shared" ref="BI69:BI105" si="149">Qg*Vdd*AN69*1000</f>
        <v>4.3749999999999995E-3</v>
      </c>
      <c r="BJ69" s="546">
        <f t="shared" ref="BJ69:BJ105" si="150">0.5*(Coss+Csw)*K69^2*AN69*1000</f>
        <v>2.7860175000000001E-2</v>
      </c>
      <c r="BK69">
        <f t="shared" ref="BK69:BK105" si="151">I69*IQ</f>
        <v>6.96E-3</v>
      </c>
      <c r="BL69" s="546">
        <f t="shared" ref="BL69:BL100" si="152">(BH69+BI69+BJ69+BK69+BG69*(1+RdsonTC*(Ta-25)))/(1-BG69*RdsonTC*ThetaJA)</f>
        <v>0.16494883379641306</v>
      </c>
      <c r="BM69" s="472">
        <f t="shared" si="56"/>
        <v>164.94883379641306</v>
      </c>
      <c r="BN69" s="546">
        <f t="shared" ref="BN69:BN105" si="153">Vfwd2*F69*(1+Diode_TC/1000*(Ta-25))</f>
        <v>0.24831999999999999</v>
      </c>
      <c r="BO69" s="546"/>
      <c r="BQ69" s="472">
        <f t="shared" si="57"/>
        <v>248.32</v>
      </c>
      <c r="BR69" s="546">
        <f t="shared" ref="BR69:BR105" si="154">Rdcr_pri*BD69^2</f>
        <v>1.7740581230285192E-2</v>
      </c>
      <c r="BS69" s="546">
        <f t="shared" ref="BS69:BS105" si="155">Rdcr_sec*BE69^2</f>
        <v>5.4212985531518376E-2</v>
      </c>
      <c r="BT69" s="546">
        <f t="shared" ref="BT69:BT105" si="156">AJ69^2.5*AN69^2.5*k_core</f>
        <v>7.5719485375413093E-2</v>
      </c>
      <c r="BU69" s="546">
        <f t="shared" ref="BU69:BU100" si="157">(BT69+(BR69+BS69)*(1+Ltc*(Ta-25)))/(1-(BR69+BS69)*Ltc*ThetaCa)</f>
        <v>0.15721243981133318</v>
      </c>
      <c r="BV69" s="546">
        <f t="shared" ref="BV69:BV105" si="158">0.5*Lleak*0.000000001*AJ69^2*AN69*1000</f>
        <v>2.512592592592593E-2</v>
      </c>
      <c r="BW69" s="472">
        <f t="shared" si="58"/>
        <v>182.33836573725912</v>
      </c>
      <c r="BX69" s="179">
        <f t="shared" si="59"/>
        <v>0.59560719953367214</v>
      </c>
      <c r="BY69" s="6">
        <f t="shared" si="60"/>
        <v>3.2</v>
      </c>
      <c r="BZ69" s="179">
        <f t="shared" si="61"/>
        <v>0.84307986358365838</v>
      </c>
      <c r="CA69" s="6">
        <f t="shared" si="62"/>
        <v>84.307986358365838</v>
      </c>
      <c r="CD69" s="581">
        <f t="shared" ref="CD69:CD105" si="159">IF(ABS(F69-Ioutmax_Vinnom)&lt;Iout/200, AN69, -50)</f>
        <v>-50</v>
      </c>
      <c r="CE69">
        <f t="shared" ref="CE69:CE105" si="160">IF(ABS(F69-Ioutmax_Vinnom)&lt;Iout/200, N69*BZ69, -50)</f>
        <v>-50</v>
      </c>
    </row>
    <row r="70" spans="5:83" x14ac:dyDescent="0.2">
      <c r="E70" s="176">
        <v>65</v>
      </c>
      <c r="F70" s="223">
        <f t="shared" ref="F70:F101" si="161">IF(PLOT_TYPE=1, E70/100*Iout_max, min_I*EXP(N70*rr/100))</f>
        <v>0.65</v>
      </c>
      <c r="G70" s="223"/>
      <c r="H70" s="223">
        <f t="shared" si="113"/>
        <v>3.25</v>
      </c>
      <c r="I70" s="559">
        <f t="shared" si="114"/>
        <v>24</v>
      </c>
      <c r="J70" s="178">
        <f t="shared" si="115"/>
        <v>15.899999999999999</v>
      </c>
      <c r="K70" s="454">
        <f t="shared" si="116"/>
        <v>39.9</v>
      </c>
      <c r="L70" s="454"/>
      <c r="M70" s="223">
        <f t="shared" si="117"/>
        <v>0.39849624060150374</v>
      </c>
      <c r="N70" s="178">
        <f t="shared" si="118"/>
        <v>6.4556390977443598</v>
      </c>
      <c r="O70" s="178">
        <f t="shared" ref="O70:O133" si="162">T70*F70</f>
        <v>3.25</v>
      </c>
      <c r="P70" s="223">
        <f t="shared" si="119"/>
        <v>1.291127819548872</v>
      </c>
      <c r="Q70" s="223">
        <f t="shared" si="120"/>
        <v>5</v>
      </c>
      <c r="R70" s="223">
        <f t="shared" si="121"/>
        <v>1.4345864661654135</v>
      </c>
      <c r="S70" s="178">
        <f t="shared" si="122"/>
        <v>17.061315297238686</v>
      </c>
      <c r="T70" s="178">
        <f t="shared" si="123"/>
        <v>5</v>
      </c>
      <c r="U70" s="223">
        <f t="shared" si="124"/>
        <v>0.75515373864430468</v>
      </c>
      <c r="V70" s="223">
        <f t="shared" si="125"/>
        <v>0.94394217330538088</v>
      </c>
      <c r="W70" s="223">
        <f t="shared" si="126"/>
        <v>1.4248183748005752</v>
      </c>
      <c r="X70" s="203">
        <f t="shared" si="127"/>
        <v>350</v>
      </c>
      <c r="Y70" s="454">
        <f t="shared" ref="Y70:Y105" si="163">MIN(1/(V70+W70)*1000, 350)</f>
        <v>350</v>
      </c>
      <c r="AA70" s="223">
        <f t="shared" si="128"/>
        <v>0.91084854994629427</v>
      </c>
      <c r="AB70" s="179">
        <f t="shared" si="129"/>
        <v>1.7185821697099894</v>
      </c>
      <c r="AC70" s="179">
        <f t="shared" si="130"/>
        <v>0.82181824055304764</v>
      </c>
      <c r="AD70" s="179"/>
      <c r="AE70" s="179">
        <f t="shared" si="131"/>
        <v>0.5660377358490567</v>
      </c>
      <c r="AF70" s="563">
        <f t="shared" si="112"/>
        <v>2551.8518518518517</v>
      </c>
      <c r="AG70" s="546">
        <f t="shared" si="132"/>
        <v>8.9150943396226423E-2</v>
      </c>
      <c r="AI70" s="179">
        <f t="shared" si="133"/>
        <v>0.85387383675841066</v>
      </c>
      <c r="AJ70" s="179">
        <f t="shared" si="134"/>
        <v>0.85387383675841066</v>
      </c>
      <c r="AK70" s="179">
        <f t="shared" si="135"/>
        <v>1.6102769161173411</v>
      </c>
      <c r="AM70" s="563">
        <f t="shared" si="136"/>
        <v>650</v>
      </c>
      <c r="AN70" s="472">
        <f t="shared" si="137"/>
        <v>350</v>
      </c>
      <c r="AP70">
        <f t="shared" si="138"/>
        <v>650</v>
      </c>
      <c r="AQ70">
        <f t="shared" si="139"/>
        <v>350</v>
      </c>
      <c r="AS70" s="6">
        <f t="shared" ref="AS70:AS133" si="164">1/AN70*1000</f>
        <v>2.8571428571428572</v>
      </c>
      <c r="AT70" s="6">
        <f t="shared" si="140"/>
        <v>1.0673422959480134</v>
      </c>
      <c r="AU70" s="6">
        <f t="shared" ref="AU70:AU105" si="165">AS70-AT70</f>
        <v>1.7898005611948438</v>
      </c>
      <c r="AV70" s="6">
        <f t="shared" si="141"/>
        <v>1.6110827108649259</v>
      </c>
      <c r="AW70" s="179">
        <f t="shared" ref="AW70:AW105" si="166">AT70/AS70</f>
        <v>0.37356980358180469</v>
      </c>
      <c r="AX70" s="179">
        <f t="shared" si="142"/>
        <v>3.8277777777777771</v>
      </c>
      <c r="AY70" s="179">
        <f t="shared" si="143"/>
        <v>0.80233853291539381</v>
      </c>
      <c r="AZ70" s="179">
        <f t="shared" ref="AZ70:AZ133" si="167">AX70/AY70</f>
        <v>4.7707764500217698</v>
      </c>
      <c r="BA70" s="472">
        <f t="shared" si="144"/>
        <v>13.875449847324175</v>
      </c>
      <c r="BB70" s="6">
        <f t="shared" si="145"/>
        <v>0.22441557962512507</v>
      </c>
      <c r="BC70" s="6"/>
      <c r="BD70" s="179">
        <f t="shared" ref="BD70:BD133" si="168">AJ70*SQRT(AW70/3)</f>
        <v>0.30131375753936546</v>
      </c>
      <c r="BE70" s="179">
        <f t="shared" si="146"/>
        <v>1.1705519052819329</v>
      </c>
      <c r="BF70" s="179"/>
      <c r="BG70" s="546">
        <f t="shared" si="147"/>
        <v>3.177649316887203E-2</v>
      </c>
      <c r="BH70" s="546">
        <f t="shared" si="148"/>
        <v>8.9432610977484034E-2</v>
      </c>
      <c r="BI70" s="546">
        <f t="shared" si="149"/>
        <v>4.3749999999999995E-3</v>
      </c>
      <c r="BJ70" s="546">
        <f t="shared" si="150"/>
        <v>2.7860175000000001E-2</v>
      </c>
      <c r="BK70">
        <f t="shared" si="151"/>
        <v>6.96E-3</v>
      </c>
      <c r="BL70" s="546">
        <f t="shared" si="152"/>
        <v>0.16652766774944944</v>
      </c>
      <c r="BM70" s="472">
        <f t="shared" ref="BM70:BM105" si="169">BL70*1000</f>
        <v>166.52766774944945</v>
      </c>
      <c r="BN70" s="546">
        <f t="shared" si="153"/>
        <v>0.25219999999999998</v>
      </c>
      <c r="BO70" s="546"/>
      <c r="BQ70" s="472">
        <f t="shared" ref="BQ70:BQ105" si="170">SUM(BN70:BP70)*1000</f>
        <v>252.2</v>
      </c>
      <c r="BR70" s="546">
        <f t="shared" si="154"/>
        <v>1.8157996096498302E-2</v>
      </c>
      <c r="BS70" s="546">
        <f t="shared" si="155"/>
        <v>5.4807670518366526E-2</v>
      </c>
      <c r="BT70" s="546">
        <f t="shared" si="156"/>
        <v>7.7201258836681205E-2</v>
      </c>
      <c r="BU70" s="546">
        <f t="shared" si="157"/>
        <v>0.15985592497558418</v>
      </c>
      <c r="BV70" s="546">
        <f t="shared" si="158"/>
        <v>2.5518518518518517E-2</v>
      </c>
      <c r="BW70" s="472">
        <f t="shared" ref="BW70:BW105" si="171">1000*(BU70+BV70)</f>
        <v>185.37444349410271</v>
      </c>
      <c r="BX70" s="179">
        <f t="shared" ref="BX70:BX105" si="172">SUM(BL70,BN70:BP70,BU70, BV70)</f>
        <v>0.60410211124355206</v>
      </c>
      <c r="BY70" s="6">
        <f t="shared" ref="BY70:BY105" si="173">MIN(H70,O70)</f>
        <v>3.25</v>
      </c>
      <c r="BZ70" s="179">
        <f t="shared" ref="BZ70:BZ105" si="174">BY70/(BY70+BX70)</f>
        <v>0.84325736739532453</v>
      </c>
      <c r="CA70" s="6">
        <f t="shared" ref="CA70:CA105" si="175">BZ70*100</f>
        <v>84.325736739532459</v>
      </c>
      <c r="CD70" s="581">
        <f t="shared" si="159"/>
        <v>-50</v>
      </c>
      <c r="CE70">
        <f t="shared" si="160"/>
        <v>-50</v>
      </c>
    </row>
    <row r="71" spans="5:83" x14ac:dyDescent="0.2">
      <c r="E71" s="176">
        <v>66</v>
      </c>
      <c r="F71" s="223">
        <f t="shared" si="161"/>
        <v>0.66</v>
      </c>
      <c r="G71" s="223"/>
      <c r="H71" s="223">
        <f t="shared" si="113"/>
        <v>3.3000000000000003</v>
      </c>
      <c r="I71" s="559">
        <f t="shared" si="114"/>
        <v>24</v>
      </c>
      <c r="J71" s="178">
        <f t="shared" si="115"/>
        <v>15.899999999999999</v>
      </c>
      <c r="K71" s="454">
        <f t="shared" si="116"/>
        <v>39.9</v>
      </c>
      <c r="L71" s="454"/>
      <c r="M71" s="223">
        <f t="shared" si="117"/>
        <v>0.39849624060150374</v>
      </c>
      <c r="N71" s="178">
        <f t="shared" si="118"/>
        <v>6.4556390977443598</v>
      </c>
      <c r="O71" s="178">
        <f t="shared" si="162"/>
        <v>3.3000000000000003</v>
      </c>
      <c r="P71" s="223">
        <f t="shared" si="119"/>
        <v>1.291127819548872</v>
      </c>
      <c r="Q71" s="223">
        <f t="shared" si="120"/>
        <v>5</v>
      </c>
      <c r="R71" s="223">
        <f t="shared" si="121"/>
        <v>1.4345864661654135</v>
      </c>
      <c r="S71" s="178">
        <f t="shared" si="122"/>
        <v>16.686741209587943</v>
      </c>
      <c r="T71" s="178">
        <f t="shared" si="123"/>
        <v>5</v>
      </c>
      <c r="U71" s="223">
        <f t="shared" si="124"/>
        <v>0.76677148846960175</v>
      </c>
      <c r="V71" s="223">
        <f t="shared" si="125"/>
        <v>0.95846436058700224</v>
      </c>
      <c r="W71" s="223">
        <f t="shared" si="126"/>
        <v>1.4467386574898149</v>
      </c>
      <c r="X71" s="203">
        <f t="shared" si="127"/>
        <v>350</v>
      </c>
      <c r="Y71" s="454">
        <f t="shared" si="163"/>
        <v>350</v>
      </c>
      <c r="AA71" s="223">
        <f t="shared" si="128"/>
        <v>0.91084854994629427</v>
      </c>
      <c r="AB71" s="179">
        <f t="shared" si="129"/>
        <v>1.7185821697099894</v>
      </c>
      <c r="AC71" s="179">
        <f t="shared" si="130"/>
        <v>0.82181824055304764</v>
      </c>
      <c r="AD71" s="179"/>
      <c r="AE71" s="179">
        <f t="shared" si="131"/>
        <v>0.5660377358490567</v>
      </c>
      <c r="AF71" s="563">
        <f t="shared" si="112"/>
        <v>2591.1111111111104</v>
      </c>
      <c r="AG71" s="546">
        <f t="shared" si="132"/>
        <v>8.9150943396226423E-2</v>
      </c>
      <c r="AI71" s="179">
        <f t="shared" si="133"/>
        <v>0.86041702698020817</v>
      </c>
      <c r="AJ71" s="179">
        <f t="shared" si="134"/>
        <v>0.86041702698020817</v>
      </c>
      <c r="AK71" s="179">
        <f t="shared" si="135"/>
        <v>1.615123723689043</v>
      </c>
      <c r="AM71" s="563">
        <f t="shared" si="136"/>
        <v>660</v>
      </c>
      <c r="AN71" s="472">
        <f t="shared" si="137"/>
        <v>350</v>
      </c>
      <c r="AP71">
        <f t="shared" si="138"/>
        <v>660</v>
      </c>
      <c r="AQ71">
        <f t="shared" si="139"/>
        <v>350</v>
      </c>
      <c r="AS71" s="6">
        <f t="shared" si="164"/>
        <v>2.8571428571428572</v>
      </c>
      <c r="AT71" s="6">
        <f t="shared" si="140"/>
        <v>1.0755212837252603</v>
      </c>
      <c r="AU71" s="6">
        <f t="shared" si="165"/>
        <v>1.7816215734175969</v>
      </c>
      <c r="AV71" s="6">
        <f t="shared" si="141"/>
        <v>1.6234283527928457</v>
      </c>
      <c r="AW71" s="179">
        <f t="shared" si="166"/>
        <v>0.37643244930384112</v>
      </c>
      <c r="AX71" s="179">
        <f t="shared" si="142"/>
        <v>3.8866666666666663</v>
      </c>
      <c r="AY71" s="179">
        <f t="shared" si="143"/>
        <v>0.80479220713697885</v>
      </c>
      <c r="AZ71" s="179">
        <f t="shared" si="167"/>
        <v>4.8294039532183737</v>
      </c>
      <c r="BA71" s="472">
        <f t="shared" si="144"/>
        <v>14.196880945173438</v>
      </c>
      <c r="BB71" s="6">
        <f t="shared" si="145"/>
        <v>0.2268268206897403</v>
      </c>
      <c r="BC71" s="6"/>
      <c r="BD71" s="179">
        <f t="shared" si="168"/>
        <v>0.30478381127705406</v>
      </c>
      <c r="BE71" s="179">
        <f t="shared" si="146"/>
        <v>1.1768236216201977</v>
      </c>
      <c r="BF71" s="179"/>
      <c r="BG71" s="546">
        <f t="shared" si="147"/>
        <v>3.2512610065798413E-2</v>
      </c>
      <c r="BH71" s="546">
        <f t="shared" si="148"/>
        <v>9.0117928363339539E-2</v>
      </c>
      <c r="BI71" s="546">
        <f t="shared" si="149"/>
        <v>4.3749999999999995E-3</v>
      </c>
      <c r="BJ71" s="546">
        <f t="shared" si="150"/>
        <v>2.7860175000000001E-2</v>
      </c>
      <c r="BK71">
        <f t="shared" si="151"/>
        <v>6.96E-3</v>
      </c>
      <c r="BL71" s="546">
        <f t="shared" si="152"/>
        <v>0.16810876515197579</v>
      </c>
      <c r="BM71" s="472">
        <f t="shared" si="169"/>
        <v>168.10876515197577</v>
      </c>
      <c r="BN71" s="546">
        <f t="shared" si="153"/>
        <v>0.25608000000000003</v>
      </c>
      <c r="BO71" s="546"/>
      <c r="BQ71" s="472">
        <f t="shared" si="170"/>
        <v>256.08000000000004</v>
      </c>
      <c r="BR71" s="546">
        <f t="shared" si="154"/>
        <v>1.8578634323313383E-2</v>
      </c>
      <c r="BS71" s="546">
        <f t="shared" si="155"/>
        <v>5.5396553456131134E-2</v>
      </c>
      <c r="BT71" s="546">
        <f t="shared" si="156"/>
        <v>7.8688742598064201E-2</v>
      </c>
      <c r="BU71" s="546">
        <f t="shared" si="157"/>
        <v>0.16250264601130954</v>
      </c>
      <c r="BV71" s="546">
        <f t="shared" si="158"/>
        <v>2.591111111111111E-2</v>
      </c>
      <c r="BW71" s="472">
        <f t="shared" si="171"/>
        <v>188.41375712242063</v>
      </c>
      <c r="BX71" s="179">
        <f t="shared" si="172"/>
        <v>0.61260252227439638</v>
      </c>
      <c r="BY71" s="6">
        <f t="shared" si="173"/>
        <v>3.3000000000000003</v>
      </c>
      <c r="BZ71" s="179">
        <f t="shared" si="174"/>
        <v>0.84342837822476013</v>
      </c>
      <c r="CA71" s="6">
        <f t="shared" si="175"/>
        <v>84.342837822476014</v>
      </c>
      <c r="CD71" s="581">
        <f t="shared" si="159"/>
        <v>-50</v>
      </c>
      <c r="CE71">
        <f t="shared" si="160"/>
        <v>-50</v>
      </c>
    </row>
    <row r="72" spans="5:83" x14ac:dyDescent="0.2">
      <c r="E72" s="176">
        <v>67</v>
      </c>
      <c r="F72" s="223">
        <f t="shared" si="161"/>
        <v>0.67</v>
      </c>
      <c r="G72" s="223"/>
      <c r="H72" s="223">
        <f t="shared" si="113"/>
        <v>3.35</v>
      </c>
      <c r="I72" s="559">
        <f t="shared" si="114"/>
        <v>24</v>
      </c>
      <c r="J72" s="178">
        <f t="shared" si="115"/>
        <v>15.899999999999999</v>
      </c>
      <c r="K72" s="454">
        <f t="shared" si="116"/>
        <v>39.9</v>
      </c>
      <c r="L72" s="454"/>
      <c r="M72" s="223">
        <f t="shared" si="117"/>
        <v>0.39849624060150374</v>
      </c>
      <c r="N72" s="178">
        <f t="shared" si="118"/>
        <v>6.4556390977443598</v>
      </c>
      <c r="O72" s="178">
        <f t="shared" si="162"/>
        <v>3.35</v>
      </c>
      <c r="P72" s="223">
        <f t="shared" si="119"/>
        <v>1.291127819548872</v>
      </c>
      <c r="Q72" s="223">
        <f t="shared" si="120"/>
        <v>5</v>
      </c>
      <c r="R72" s="223">
        <f t="shared" si="121"/>
        <v>1.4345864661654135</v>
      </c>
      <c r="S72" s="178">
        <f t="shared" si="122"/>
        <v>16.323478592013785</v>
      </c>
      <c r="T72" s="178">
        <f t="shared" si="123"/>
        <v>5</v>
      </c>
      <c r="U72" s="223">
        <f t="shared" si="124"/>
        <v>0.7783892382948987</v>
      </c>
      <c r="V72" s="223">
        <f t="shared" si="125"/>
        <v>0.97298654786862349</v>
      </c>
      <c r="W72" s="223">
        <f t="shared" si="126"/>
        <v>1.4686589401790542</v>
      </c>
      <c r="X72" s="203">
        <f t="shared" si="127"/>
        <v>350</v>
      </c>
      <c r="Y72" s="454">
        <f t="shared" si="163"/>
        <v>350</v>
      </c>
      <c r="AA72" s="223">
        <f t="shared" si="128"/>
        <v>0.91084854994629427</v>
      </c>
      <c r="AB72" s="179">
        <f t="shared" si="129"/>
        <v>1.7185821697099894</v>
      </c>
      <c r="AC72" s="179">
        <f t="shared" si="130"/>
        <v>0.82181824055304764</v>
      </c>
      <c r="AD72" s="179"/>
      <c r="AE72" s="179">
        <f t="shared" si="131"/>
        <v>0.5660377358490567</v>
      </c>
      <c r="AF72" s="563">
        <f t="shared" ref="AF72:AF103" si="176">MAX(10000,F72/(0.5*AE72/1000000*Isw_min*Nps))/1000</f>
        <v>2630.37037037037</v>
      </c>
      <c r="AG72" s="546">
        <f t="shared" si="132"/>
        <v>8.9150943396226423E-2</v>
      </c>
      <c r="AI72" s="179">
        <f t="shared" si="133"/>
        <v>0.86691083251646561</v>
      </c>
      <c r="AJ72" s="179">
        <f t="shared" si="134"/>
        <v>0.86691083251646561</v>
      </c>
      <c r="AK72" s="179">
        <f t="shared" si="135"/>
        <v>1.6199339500121968</v>
      </c>
      <c r="AM72" s="563">
        <f t="shared" si="136"/>
        <v>670</v>
      </c>
      <c r="AN72" s="472">
        <f t="shared" si="137"/>
        <v>350</v>
      </c>
      <c r="AP72">
        <f t="shared" si="138"/>
        <v>670</v>
      </c>
      <c r="AQ72">
        <f t="shared" si="139"/>
        <v>350</v>
      </c>
      <c r="AS72" s="6">
        <f t="shared" si="164"/>
        <v>2.8571428571428572</v>
      </c>
      <c r="AT72" s="6">
        <f t="shared" si="140"/>
        <v>1.0836385406455822</v>
      </c>
      <c r="AU72" s="6">
        <f t="shared" si="165"/>
        <v>1.773504316497275</v>
      </c>
      <c r="AV72" s="6">
        <f t="shared" si="141"/>
        <v>1.6356808160688034</v>
      </c>
      <c r="AW72" s="179">
        <f t="shared" si="166"/>
        <v>0.37927348922595377</v>
      </c>
      <c r="AX72" s="179">
        <f t="shared" si="142"/>
        <v>3.9455555555555555</v>
      </c>
      <c r="AY72" s="179">
        <f t="shared" si="143"/>
        <v>0.80717180433025404</v>
      </c>
      <c r="AZ72" s="179">
        <f t="shared" si="167"/>
        <v>4.8881236118367095</v>
      </c>
      <c r="BA72" s="472">
        <f t="shared" si="144"/>
        <v>14.520756444650802</v>
      </c>
      <c r="BB72" s="6">
        <f t="shared" si="145"/>
        <v>0.22921448534976352</v>
      </c>
      <c r="BC72" s="6"/>
      <c r="BD72" s="179">
        <f t="shared" si="168"/>
        <v>0.30824074517090949</v>
      </c>
      <c r="BE72" s="179">
        <f t="shared" si="146"/>
        <v>1.1830012517962594</v>
      </c>
      <c r="BF72" s="179"/>
      <c r="BG72" s="546">
        <f t="shared" si="147"/>
        <v>3.3254324944231146E-2</v>
      </c>
      <c r="BH72" s="546">
        <f t="shared" si="148"/>
        <v>9.0798073320693312E-2</v>
      </c>
      <c r="BI72" s="546">
        <f t="shared" si="149"/>
        <v>4.3749999999999995E-3</v>
      </c>
      <c r="BJ72" s="546">
        <f t="shared" si="150"/>
        <v>2.7860175000000001E-2</v>
      </c>
      <c r="BK72">
        <f t="shared" si="151"/>
        <v>6.96E-3</v>
      </c>
      <c r="BL72" s="546">
        <f t="shared" si="152"/>
        <v>0.16969220655522704</v>
      </c>
      <c r="BM72" s="472">
        <f t="shared" si="169"/>
        <v>169.69220655522705</v>
      </c>
      <c r="BN72" s="546">
        <f t="shared" si="153"/>
        <v>0.25996000000000002</v>
      </c>
      <c r="BO72" s="546"/>
      <c r="BQ72" s="472">
        <f t="shared" si="170"/>
        <v>259.96000000000004</v>
      </c>
      <c r="BR72" s="546">
        <f t="shared" si="154"/>
        <v>1.9002471396703514E-2</v>
      </c>
      <c r="BS72" s="546">
        <f t="shared" si="155"/>
        <v>5.5979678470060669E-2</v>
      </c>
      <c r="BT72" s="546">
        <f t="shared" si="156"/>
        <v>8.0181871641712532E-2</v>
      </c>
      <c r="BU72" s="546">
        <f t="shared" si="157"/>
        <v>0.16515255900691531</v>
      </c>
      <c r="BV72" s="546">
        <f t="shared" si="158"/>
        <v>2.6303703703703704E-2</v>
      </c>
      <c r="BW72" s="472">
        <f t="shared" si="171"/>
        <v>191.456262710619</v>
      </c>
      <c r="BX72" s="179">
        <f t="shared" si="172"/>
        <v>0.62110846926584606</v>
      </c>
      <c r="BY72" s="6">
        <f t="shared" si="173"/>
        <v>3.35</v>
      </c>
      <c r="BZ72" s="179">
        <f t="shared" si="174"/>
        <v>0.84359317453228044</v>
      </c>
      <c r="CA72" s="6">
        <f t="shared" si="175"/>
        <v>84.359317453228044</v>
      </c>
      <c r="CD72" s="581">
        <f t="shared" si="159"/>
        <v>-50</v>
      </c>
      <c r="CE72">
        <f t="shared" si="160"/>
        <v>-50</v>
      </c>
    </row>
    <row r="73" spans="5:83" x14ac:dyDescent="0.2">
      <c r="E73" s="176">
        <v>68</v>
      </c>
      <c r="F73" s="223">
        <f t="shared" si="161"/>
        <v>0.68</v>
      </c>
      <c r="G73" s="223"/>
      <c r="H73" s="223">
        <f t="shared" si="113"/>
        <v>3.4000000000000004</v>
      </c>
      <c r="I73" s="559">
        <f t="shared" si="114"/>
        <v>24</v>
      </c>
      <c r="J73" s="178">
        <f t="shared" si="115"/>
        <v>15.899999999999999</v>
      </c>
      <c r="K73" s="454">
        <f t="shared" si="116"/>
        <v>39.9</v>
      </c>
      <c r="L73" s="454"/>
      <c r="M73" s="223">
        <f t="shared" si="117"/>
        <v>0.39849624060150374</v>
      </c>
      <c r="N73" s="178">
        <f t="shared" si="118"/>
        <v>6.4556390977443598</v>
      </c>
      <c r="O73" s="178">
        <f t="shared" si="162"/>
        <v>3.4000000000000004</v>
      </c>
      <c r="P73" s="223">
        <f t="shared" si="119"/>
        <v>1.291127819548872</v>
      </c>
      <c r="Q73" s="223">
        <f t="shared" si="120"/>
        <v>5</v>
      </c>
      <c r="R73" s="223">
        <f t="shared" si="121"/>
        <v>1.4345864661654135</v>
      </c>
      <c r="S73" s="178">
        <f t="shared" si="122"/>
        <v>15.971030822473432</v>
      </c>
      <c r="T73" s="178">
        <f t="shared" si="123"/>
        <v>5</v>
      </c>
      <c r="U73" s="223">
        <f t="shared" si="124"/>
        <v>0.79000698812019576</v>
      </c>
      <c r="V73" s="223">
        <f t="shared" si="125"/>
        <v>0.98750873515024473</v>
      </c>
      <c r="W73" s="223">
        <f t="shared" si="126"/>
        <v>1.4905792228682941</v>
      </c>
      <c r="X73" s="203">
        <f t="shared" si="127"/>
        <v>350</v>
      </c>
      <c r="Y73" s="454">
        <f t="shared" si="163"/>
        <v>350</v>
      </c>
      <c r="AA73" s="223">
        <f t="shared" si="128"/>
        <v>0.91084854994629427</v>
      </c>
      <c r="AB73" s="179">
        <f t="shared" si="129"/>
        <v>1.7185821697099894</v>
      </c>
      <c r="AC73" s="179">
        <f t="shared" si="130"/>
        <v>0.82181824055304764</v>
      </c>
      <c r="AD73" s="179"/>
      <c r="AE73" s="179">
        <f t="shared" si="131"/>
        <v>0.5660377358490567</v>
      </c>
      <c r="AF73" s="563">
        <f t="shared" si="176"/>
        <v>2669.6296296296291</v>
      </c>
      <c r="AG73" s="546">
        <f t="shared" si="132"/>
        <v>8.9150943396226423E-2</v>
      </c>
      <c r="AI73" s="179">
        <f t="shared" si="133"/>
        <v>0.87335635496131969</v>
      </c>
      <c r="AJ73" s="179">
        <f t="shared" si="134"/>
        <v>0.87335635496131969</v>
      </c>
      <c r="AK73" s="179">
        <f t="shared" si="135"/>
        <v>1.624708411082459</v>
      </c>
      <c r="AM73" s="563">
        <f t="shared" si="136"/>
        <v>680</v>
      </c>
      <c r="AN73" s="472">
        <f t="shared" si="137"/>
        <v>350</v>
      </c>
      <c r="AP73">
        <f t="shared" si="138"/>
        <v>680</v>
      </c>
      <c r="AQ73">
        <f t="shared" si="139"/>
        <v>350</v>
      </c>
      <c r="AS73" s="6">
        <f t="shared" si="164"/>
        <v>2.8571428571428572</v>
      </c>
      <c r="AT73" s="6">
        <f t="shared" si="140"/>
        <v>1.0916954437016497</v>
      </c>
      <c r="AU73" s="6">
        <f t="shared" si="165"/>
        <v>1.7654474134412075</v>
      </c>
      <c r="AV73" s="6">
        <f t="shared" si="141"/>
        <v>1.6478421791723015</v>
      </c>
      <c r="AW73" s="179">
        <f t="shared" si="166"/>
        <v>0.38209340529557739</v>
      </c>
      <c r="AX73" s="179">
        <f t="shared" si="142"/>
        <v>4.0044444444444443</v>
      </c>
      <c r="AY73" s="179">
        <f t="shared" si="143"/>
        <v>0.80947897688642412</v>
      </c>
      <c r="AZ73" s="179">
        <f t="shared" si="167"/>
        <v>4.9469406356260412</v>
      </c>
      <c r="BA73" s="472">
        <f t="shared" si="144"/>
        <v>14.847058034342437</v>
      </c>
      <c r="BB73" s="6">
        <f t="shared" si="145"/>
        <v>0.23157875021991145</v>
      </c>
      <c r="BC73" s="6"/>
      <c r="BD73" s="179">
        <f t="shared" si="168"/>
        <v>0.31168480355628447</v>
      </c>
      <c r="BE73" s="179">
        <f t="shared" si="146"/>
        <v>1.1890867156531064</v>
      </c>
      <c r="BF73" s="179"/>
      <c r="BG73" s="546">
        <f t="shared" si="147"/>
        <v>3.4001595868771876E-2</v>
      </c>
      <c r="BH73" s="546">
        <f t="shared" si="148"/>
        <v>9.1473161227761196E-2</v>
      </c>
      <c r="BI73" s="546">
        <f t="shared" si="149"/>
        <v>4.3749999999999995E-3</v>
      </c>
      <c r="BJ73" s="546">
        <f t="shared" si="150"/>
        <v>2.7860175000000001E-2</v>
      </c>
      <c r="BK73">
        <f t="shared" si="151"/>
        <v>6.96E-3</v>
      </c>
      <c r="BL73" s="546">
        <f t="shared" si="152"/>
        <v>0.17127806918324714</v>
      </c>
      <c r="BM73" s="472">
        <f t="shared" si="169"/>
        <v>171.27806918324714</v>
      </c>
      <c r="BN73" s="546">
        <f t="shared" si="153"/>
        <v>0.26384000000000002</v>
      </c>
      <c r="BO73" s="546"/>
      <c r="BQ73" s="472">
        <f t="shared" si="170"/>
        <v>263.84000000000003</v>
      </c>
      <c r="BR73" s="546">
        <f t="shared" si="154"/>
        <v>1.942948335358393E-2</v>
      </c>
      <c r="BS73" s="546">
        <f t="shared" si="155"/>
        <v>5.6557088693707666E-2</v>
      </c>
      <c r="BT73" s="546">
        <f t="shared" si="156"/>
        <v>8.1680582651377204E-2</v>
      </c>
      <c r="BU73" s="546">
        <f t="shared" si="157"/>
        <v>0.16780562125872112</v>
      </c>
      <c r="BV73" s="546">
        <f t="shared" si="158"/>
        <v>2.6696296296296291E-2</v>
      </c>
      <c r="BW73" s="472">
        <f t="shared" si="171"/>
        <v>194.50191755501743</v>
      </c>
      <c r="BX73" s="179">
        <f t="shared" si="172"/>
        <v>0.62961998673826458</v>
      </c>
      <c r="BY73" s="6">
        <f t="shared" si="173"/>
        <v>3.4000000000000004</v>
      </c>
      <c r="BZ73" s="179">
        <f t="shared" si="174"/>
        <v>0.84375201909599817</v>
      </c>
      <c r="CA73" s="6">
        <f t="shared" si="175"/>
        <v>84.375201909599824</v>
      </c>
      <c r="CD73" s="581">
        <f t="shared" si="159"/>
        <v>-50</v>
      </c>
      <c r="CE73">
        <f t="shared" si="160"/>
        <v>-50</v>
      </c>
    </row>
    <row r="74" spans="5:83" x14ac:dyDescent="0.2">
      <c r="E74" s="176">
        <v>69</v>
      </c>
      <c r="F74" s="223">
        <f t="shared" si="161"/>
        <v>0.69</v>
      </c>
      <c r="G74" s="223"/>
      <c r="H74" s="223">
        <f t="shared" si="113"/>
        <v>3.4499999999999997</v>
      </c>
      <c r="I74" s="559">
        <f t="shared" si="114"/>
        <v>24</v>
      </c>
      <c r="J74" s="178">
        <f t="shared" si="115"/>
        <v>15.899999999999999</v>
      </c>
      <c r="K74" s="454">
        <f t="shared" si="116"/>
        <v>39.9</v>
      </c>
      <c r="L74" s="454"/>
      <c r="M74" s="223">
        <f t="shared" si="117"/>
        <v>0.39849624060150374</v>
      </c>
      <c r="N74" s="178">
        <f t="shared" si="118"/>
        <v>6.4556390977443598</v>
      </c>
      <c r="O74" s="178">
        <f t="shared" si="162"/>
        <v>3.4499999999999997</v>
      </c>
      <c r="P74" s="223">
        <f t="shared" si="119"/>
        <v>1.291127819548872</v>
      </c>
      <c r="Q74" s="223">
        <f t="shared" si="120"/>
        <v>5</v>
      </c>
      <c r="R74" s="223">
        <f t="shared" si="121"/>
        <v>1.4345864661654135</v>
      </c>
      <c r="S74" s="178">
        <f t="shared" si="122"/>
        <v>15.628930122400034</v>
      </c>
      <c r="T74" s="178">
        <f t="shared" si="123"/>
        <v>5</v>
      </c>
      <c r="U74" s="223">
        <f t="shared" si="124"/>
        <v>0.8016247379454926</v>
      </c>
      <c r="V74" s="223">
        <f t="shared" si="125"/>
        <v>1.0020309224318658</v>
      </c>
      <c r="W74" s="223">
        <f t="shared" si="126"/>
        <v>1.5124995055575332</v>
      </c>
      <c r="X74" s="203">
        <f t="shared" si="127"/>
        <v>350</v>
      </c>
      <c r="Y74" s="454">
        <f t="shared" si="163"/>
        <v>350</v>
      </c>
      <c r="AA74" s="223">
        <f t="shared" si="128"/>
        <v>0.91084854994629427</v>
      </c>
      <c r="AB74" s="179">
        <f t="shared" si="129"/>
        <v>1.7185821697099894</v>
      </c>
      <c r="AC74" s="179">
        <f t="shared" si="130"/>
        <v>0.82181824055304764</v>
      </c>
      <c r="AD74" s="179"/>
      <c r="AE74" s="179">
        <f t="shared" si="131"/>
        <v>0.5660377358490567</v>
      </c>
      <c r="AF74" s="563">
        <f t="shared" si="176"/>
        <v>2708.8888888888882</v>
      </c>
      <c r="AG74" s="546">
        <f t="shared" si="132"/>
        <v>8.9150943396226423E-2</v>
      </c>
      <c r="AI74" s="179">
        <f t="shared" si="133"/>
        <v>0.87975465555361165</v>
      </c>
      <c r="AJ74" s="179">
        <f t="shared" si="134"/>
        <v>0.87975465555361165</v>
      </c>
      <c r="AK74" s="179">
        <f t="shared" si="135"/>
        <v>1.6294478930026752</v>
      </c>
      <c r="AM74" s="563">
        <f t="shared" si="136"/>
        <v>690</v>
      </c>
      <c r="AN74" s="472">
        <f t="shared" si="137"/>
        <v>350</v>
      </c>
      <c r="AP74">
        <f t="shared" si="138"/>
        <v>690</v>
      </c>
      <c r="AQ74">
        <f t="shared" si="139"/>
        <v>350</v>
      </c>
      <c r="AS74" s="6">
        <f t="shared" si="164"/>
        <v>2.8571428571428572</v>
      </c>
      <c r="AT74" s="6">
        <f t="shared" si="140"/>
        <v>1.0996933194420146</v>
      </c>
      <c r="AU74" s="6">
        <f t="shared" si="165"/>
        <v>1.7574495377008426</v>
      </c>
      <c r="AV74" s="6">
        <f t="shared" si="141"/>
        <v>1.659914444440777</v>
      </c>
      <c r="AW74" s="179">
        <f t="shared" si="166"/>
        <v>0.38489266180470511</v>
      </c>
      <c r="AX74" s="179">
        <f t="shared" si="142"/>
        <v>4.0633333333333326</v>
      </c>
      <c r="AY74" s="179">
        <f t="shared" si="143"/>
        <v>0.81171531666375096</v>
      </c>
      <c r="AZ74" s="179">
        <f t="shared" si="167"/>
        <v>5.0058601210509721</v>
      </c>
      <c r="BA74" s="472">
        <f t="shared" si="144"/>
        <v>15.175767808299801</v>
      </c>
      <c r="BB74" s="6">
        <f t="shared" si="145"/>
        <v>0.23391978800416302</v>
      </c>
      <c r="BC74" s="6"/>
      <c r="BD74" s="179">
        <f t="shared" si="168"/>
        <v>0.31511622269790196</v>
      </c>
      <c r="BE74" s="179">
        <f t="shared" si="146"/>
        <v>1.1950818623166442</v>
      </c>
      <c r="BF74" s="179"/>
      <c r="BG74" s="546">
        <f t="shared" si="147"/>
        <v>3.4754381832587812E-2</v>
      </c>
      <c r="BH74" s="546">
        <f t="shared" si="148"/>
        <v>9.2143303236046373E-2</v>
      </c>
      <c r="BI74" s="546">
        <f t="shared" si="149"/>
        <v>4.3749999999999995E-3</v>
      </c>
      <c r="BJ74" s="546">
        <f t="shared" si="150"/>
        <v>2.7860175000000001E-2</v>
      </c>
      <c r="BK74">
        <f t="shared" si="151"/>
        <v>6.96E-3</v>
      </c>
      <c r="BL74" s="546">
        <f t="shared" si="152"/>
        <v>0.17286642712064909</v>
      </c>
      <c r="BM74" s="472">
        <f t="shared" si="169"/>
        <v>172.86642712064909</v>
      </c>
      <c r="BN74" s="546">
        <f t="shared" si="153"/>
        <v>0.26771999999999996</v>
      </c>
      <c r="BO74" s="546"/>
      <c r="BQ74" s="472">
        <f t="shared" si="170"/>
        <v>267.71999999999997</v>
      </c>
      <c r="BR74" s="546">
        <f t="shared" si="154"/>
        <v>1.985964676147875E-2</v>
      </c>
      <c r="BS74" s="546">
        <f t="shared" si="155"/>
        <v>5.7128826305528735E-2</v>
      </c>
      <c r="BT74" s="546">
        <f t="shared" si="156"/>
        <v>8.3184813943457558E-2</v>
      </c>
      <c r="BU74" s="546">
        <f t="shared" si="157"/>
        <v>0.17046179122029134</v>
      </c>
      <c r="BV74" s="546">
        <f t="shared" si="158"/>
        <v>2.7088888888888888E-2</v>
      </c>
      <c r="BW74" s="472">
        <f t="shared" si="171"/>
        <v>197.55068010918023</v>
      </c>
      <c r="BX74" s="179">
        <f t="shared" si="172"/>
        <v>0.6381371072298293</v>
      </c>
      <c r="BY74" s="6">
        <f t="shared" si="173"/>
        <v>3.4499999999999997</v>
      </c>
      <c r="BZ74" s="179">
        <f t="shared" si="174"/>
        <v>0.84390516010304784</v>
      </c>
      <c r="CA74" s="6">
        <f t="shared" si="175"/>
        <v>84.390516010304779</v>
      </c>
      <c r="CD74" s="581">
        <f t="shared" si="159"/>
        <v>-50</v>
      </c>
      <c r="CE74">
        <f t="shared" si="160"/>
        <v>-50</v>
      </c>
    </row>
    <row r="75" spans="5:83" x14ac:dyDescent="0.2">
      <c r="E75" s="176">
        <v>70</v>
      </c>
      <c r="F75" s="223">
        <f t="shared" si="161"/>
        <v>0.7</v>
      </c>
      <c r="G75" s="223"/>
      <c r="H75" s="223">
        <f t="shared" si="113"/>
        <v>3.5</v>
      </c>
      <c r="I75" s="559">
        <f t="shared" si="114"/>
        <v>24</v>
      </c>
      <c r="J75" s="178">
        <f t="shared" si="115"/>
        <v>15.899999999999999</v>
      </c>
      <c r="K75" s="454">
        <f t="shared" si="116"/>
        <v>39.9</v>
      </c>
      <c r="L75" s="454"/>
      <c r="M75" s="223">
        <f t="shared" si="117"/>
        <v>0.39849624060150374</v>
      </c>
      <c r="N75" s="178">
        <f t="shared" si="118"/>
        <v>6.4556390977443598</v>
      </c>
      <c r="O75" s="178">
        <f t="shared" si="162"/>
        <v>3.5</v>
      </c>
      <c r="P75" s="223">
        <f t="shared" si="119"/>
        <v>1.291127819548872</v>
      </c>
      <c r="Q75" s="223">
        <f t="shared" si="120"/>
        <v>5</v>
      </c>
      <c r="R75" s="223">
        <f t="shared" si="121"/>
        <v>1.4345864661654135</v>
      </c>
      <c r="S75" s="178">
        <f t="shared" si="122"/>
        <v>15.296735497744113</v>
      </c>
      <c r="T75" s="178">
        <f t="shared" si="123"/>
        <v>5</v>
      </c>
      <c r="U75" s="223">
        <f t="shared" si="124"/>
        <v>0.81324248777078967</v>
      </c>
      <c r="V75" s="223">
        <f t="shared" si="125"/>
        <v>1.0165531097134872</v>
      </c>
      <c r="W75" s="223">
        <f t="shared" si="126"/>
        <v>1.5344197882467732</v>
      </c>
      <c r="X75" s="203">
        <f t="shared" si="127"/>
        <v>350</v>
      </c>
      <c r="Y75" s="454">
        <f t="shared" si="163"/>
        <v>350</v>
      </c>
      <c r="AA75" s="223">
        <f t="shared" si="128"/>
        <v>0.91084854994629427</v>
      </c>
      <c r="AB75" s="179">
        <f t="shared" si="129"/>
        <v>1.7185821697099894</v>
      </c>
      <c r="AC75" s="179">
        <f t="shared" si="130"/>
        <v>0.82181824055304764</v>
      </c>
      <c r="AD75" s="179"/>
      <c r="AE75" s="179">
        <f t="shared" si="131"/>
        <v>0.5660377358490567</v>
      </c>
      <c r="AF75" s="563">
        <f t="shared" si="176"/>
        <v>2748.1481481481474</v>
      </c>
      <c r="AG75" s="546">
        <f t="shared" si="132"/>
        <v>8.9150943396226423E-2</v>
      </c>
      <c r="AI75" s="179">
        <f t="shared" si="133"/>
        <v>0.88610675721675036</v>
      </c>
      <c r="AJ75" s="179">
        <f t="shared" si="134"/>
        <v>0.88610675721675036</v>
      </c>
      <c r="AK75" s="179">
        <f t="shared" si="135"/>
        <v>1.6341531534938891</v>
      </c>
      <c r="AM75" s="563">
        <f t="shared" si="136"/>
        <v>700</v>
      </c>
      <c r="AN75" s="472">
        <f t="shared" si="137"/>
        <v>350</v>
      </c>
      <c r="AP75">
        <f t="shared" si="138"/>
        <v>700</v>
      </c>
      <c r="AQ75">
        <f t="shared" si="139"/>
        <v>350</v>
      </c>
      <c r="AS75" s="6">
        <f t="shared" si="164"/>
        <v>2.8571428571428572</v>
      </c>
      <c r="AT75" s="6">
        <f t="shared" si="140"/>
        <v>1.1076334465209379</v>
      </c>
      <c r="AU75" s="6">
        <f t="shared" si="165"/>
        <v>1.7495094106219193</v>
      </c>
      <c r="AV75" s="6">
        <f t="shared" si="141"/>
        <v>1.6718995419183971</v>
      </c>
      <c r="AW75" s="179">
        <f t="shared" si="166"/>
        <v>0.38767170628232822</v>
      </c>
      <c r="AX75" s="179">
        <f t="shared" si="142"/>
        <v>4.1222222222222218</v>
      </c>
      <c r="AY75" s="179">
        <f t="shared" si="143"/>
        <v>0.81388235804734788</v>
      </c>
      <c r="AZ75" s="179">
        <f t="shared" si="167"/>
        <v>5.0648870582625536</v>
      </c>
      <c r="BA75" s="472">
        <f t="shared" si="144"/>
        <v>15.506868251293129</v>
      </c>
      <c r="BB75" s="6">
        <f t="shared" si="145"/>
        <v>0.23623776763799062</v>
      </c>
      <c r="BC75" s="6"/>
      <c r="BD75" s="179">
        <f t="shared" si="168"/>
        <v>0.31853523116935673</v>
      </c>
      <c r="BE75" s="179">
        <f t="shared" si="146"/>
        <v>1.20098847375423</v>
      </c>
      <c r="BF75" s="179"/>
      <c r="BG75" s="546">
        <f t="shared" si="147"/>
        <v>3.5512642723640436E-2</v>
      </c>
      <c r="BH75" s="546">
        <f t="shared" si="148"/>
        <v>9.2808606483989378E-2</v>
      </c>
      <c r="BI75" s="546">
        <f t="shared" si="149"/>
        <v>4.3749999999999995E-3</v>
      </c>
      <c r="BJ75" s="546">
        <f t="shared" si="150"/>
        <v>2.7860175000000001E-2</v>
      </c>
      <c r="BK75">
        <f t="shared" si="151"/>
        <v>6.96E-3</v>
      </c>
      <c r="BL75" s="546">
        <f t="shared" si="152"/>
        <v>0.1744573514876048</v>
      </c>
      <c r="BM75" s="472">
        <f t="shared" si="169"/>
        <v>174.4573514876048</v>
      </c>
      <c r="BN75" s="546">
        <f t="shared" si="153"/>
        <v>0.27159999999999995</v>
      </c>
      <c r="BO75" s="546"/>
      <c r="BQ75" s="472">
        <f t="shared" si="170"/>
        <v>271.59999999999997</v>
      </c>
      <c r="BR75" s="546">
        <f t="shared" si="154"/>
        <v>2.0292938699223106E-2</v>
      </c>
      <c r="BS75" s="546">
        <f t="shared" si="155"/>
        <v>5.7694932563620592E-2</v>
      </c>
      <c r="BT75" s="546">
        <f t="shared" si="156"/>
        <v>8.4694505401803913E-2</v>
      </c>
      <c r="BU75" s="546">
        <f t="shared" si="157"/>
        <v>0.17312102845458946</v>
      </c>
      <c r="BV75" s="546">
        <f t="shared" si="158"/>
        <v>2.7481481481481475E-2</v>
      </c>
      <c r="BW75" s="472">
        <f t="shared" si="171"/>
        <v>200.60250993607093</v>
      </c>
      <c r="BX75" s="179">
        <f t="shared" si="172"/>
        <v>0.6466598614236756</v>
      </c>
      <c r="BY75" s="6">
        <f t="shared" si="173"/>
        <v>3.5</v>
      </c>
      <c r="BZ75" s="179">
        <f t="shared" si="174"/>
        <v>0.84405283215063198</v>
      </c>
      <c r="CA75" s="6">
        <f t="shared" si="175"/>
        <v>84.405283215063193</v>
      </c>
      <c r="CD75" s="581">
        <f t="shared" si="159"/>
        <v>-50</v>
      </c>
      <c r="CE75">
        <f t="shared" si="160"/>
        <v>-50</v>
      </c>
    </row>
    <row r="76" spans="5:83" x14ac:dyDescent="0.2">
      <c r="E76" s="176">
        <v>71</v>
      </c>
      <c r="F76" s="223">
        <f t="shared" si="161"/>
        <v>0.71</v>
      </c>
      <c r="G76" s="223"/>
      <c r="H76" s="223">
        <f t="shared" si="113"/>
        <v>3.55</v>
      </c>
      <c r="I76" s="559">
        <f t="shared" si="114"/>
        <v>24</v>
      </c>
      <c r="J76" s="178">
        <f t="shared" si="115"/>
        <v>15.899999999999999</v>
      </c>
      <c r="K76" s="454">
        <f t="shared" si="116"/>
        <v>39.9</v>
      </c>
      <c r="L76" s="454"/>
      <c r="M76" s="223">
        <f t="shared" si="117"/>
        <v>0.39849624060150374</v>
      </c>
      <c r="N76" s="178">
        <f t="shared" si="118"/>
        <v>6.4556390977443598</v>
      </c>
      <c r="O76" s="178">
        <f t="shared" si="162"/>
        <v>3.55</v>
      </c>
      <c r="P76" s="223">
        <f t="shared" si="119"/>
        <v>1.291127819548872</v>
      </c>
      <c r="Q76" s="223">
        <f t="shared" si="120"/>
        <v>5</v>
      </c>
      <c r="R76" s="223">
        <f t="shared" si="121"/>
        <v>1.4345864661654135</v>
      </c>
      <c r="S76" s="178">
        <f t="shared" si="122"/>
        <v>14.974030854039409</v>
      </c>
      <c r="T76" s="178">
        <f t="shared" si="123"/>
        <v>5</v>
      </c>
      <c r="U76" s="223">
        <f t="shared" si="124"/>
        <v>0.82486023759608662</v>
      </c>
      <c r="V76" s="223">
        <f t="shared" si="125"/>
        <v>1.0310752969951085</v>
      </c>
      <c r="W76" s="223">
        <f t="shared" si="126"/>
        <v>1.5563400709360129</v>
      </c>
      <c r="X76" s="203">
        <f t="shared" si="127"/>
        <v>350</v>
      </c>
      <c r="Y76" s="454">
        <f t="shared" si="163"/>
        <v>350</v>
      </c>
      <c r="AA76" s="223">
        <f t="shared" si="128"/>
        <v>0.91084854994629427</v>
      </c>
      <c r="AB76" s="179">
        <f t="shared" si="129"/>
        <v>1.7185821697099894</v>
      </c>
      <c r="AC76" s="179">
        <f t="shared" si="130"/>
        <v>0.82181824055304764</v>
      </c>
      <c r="AD76" s="179"/>
      <c r="AE76" s="179">
        <f t="shared" si="131"/>
        <v>0.5660377358490567</v>
      </c>
      <c r="AF76" s="563">
        <f t="shared" si="176"/>
        <v>2787.4074074074069</v>
      </c>
      <c r="AG76" s="546">
        <f t="shared" si="132"/>
        <v>8.9150943396226423E-2</v>
      </c>
      <c r="AI76" s="179">
        <f t="shared" si="133"/>
        <v>0.89241364646789012</v>
      </c>
      <c r="AJ76" s="179">
        <f t="shared" si="134"/>
        <v>0.89241364646789012</v>
      </c>
      <c r="AK76" s="179">
        <f t="shared" si="135"/>
        <v>1.6388249233095482</v>
      </c>
      <c r="AM76" s="563">
        <f t="shared" si="136"/>
        <v>710</v>
      </c>
      <c r="AN76" s="472">
        <f t="shared" si="137"/>
        <v>350</v>
      </c>
      <c r="AP76">
        <f t="shared" si="138"/>
        <v>710</v>
      </c>
      <c r="AQ76">
        <f t="shared" si="139"/>
        <v>350</v>
      </c>
      <c r="AS76" s="6">
        <f t="shared" si="164"/>
        <v>2.8571428571428572</v>
      </c>
      <c r="AT76" s="6">
        <f t="shared" si="140"/>
        <v>1.1155170580848628</v>
      </c>
      <c r="AU76" s="6">
        <f t="shared" si="165"/>
        <v>1.7416257990579944</v>
      </c>
      <c r="AV76" s="6">
        <f t="shared" si="141"/>
        <v>1.6837993329582834</v>
      </c>
      <c r="AW76" s="179">
        <f t="shared" si="166"/>
        <v>0.39043097032970198</v>
      </c>
      <c r="AX76" s="179">
        <f t="shared" si="142"/>
        <v>4.1811111111111101</v>
      </c>
      <c r="AY76" s="179">
        <f t="shared" si="143"/>
        <v>0.81598158081294625</v>
      </c>
      <c r="AZ76" s="179">
        <f t="shared" si="167"/>
        <v>5.1240263376356507</v>
      </c>
      <c r="BA76" s="472">
        <f t="shared" si="144"/>
        <v>15.840342224805051</v>
      </c>
      <c r="BB76" s="6">
        <f t="shared" si="145"/>
        <v>0.2385328544234521</v>
      </c>
      <c r="BC76" s="6"/>
      <c r="BD76" s="179">
        <f t="shared" si="168"/>
        <v>0.32194205020961281</v>
      </c>
      <c r="BE76" s="179">
        <f t="shared" si="146"/>
        <v>1.2068082681055137</v>
      </c>
      <c r="BF76" s="179"/>
      <c r="BG76" s="546">
        <f t="shared" si="147"/>
        <v>3.6276339292609101E-2</v>
      </c>
      <c r="BH76" s="546">
        <f t="shared" si="148"/>
        <v>9.3469174296930635E-2</v>
      </c>
      <c r="BI76" s="546">
        <f t="shared" si="149"/>
        <v>4.3749999999999995E-3</v>
      </c>
      <c r="BJ76" s="546">
        <f t="shared" si="150"/>
        <v>2.7860175000000001E-2</v>
      </c>
      <c r="BK76">
        <f t="shared" si="151"/>
        <v>6.96E-3</v>
      </c>
      <c r="BL76" s="546">
        <f t="shared" si="152"/>
        <v>0.17605091060309536</v>
      </c>
      <c r="BM76" s="472">
        <f t="shared" si="169"/>
        <v>176.05091060309536</v>
      </c>
      <c r="BN76" s="546">
        <f t="shared" si="153"/>
        <v>0.27547999999999995</v>
      </c>
      <c r="BO76" s="546"/>
      <c r="BQ76" s="472">
        <f t="shared" si="170"/>
        <v>275.47999999999996</v>
      </c>
      <c r="BR76" s="546">
        <f t="shared" si="154"/>
        <v>2.0729336738633773E-2</v>
      </c>
      <c r="BS76" s="546">
        <f t="shared" si="155"/>
        <v>5.825544783871317E-2</v>
      </c>
      <c r="BT76" s="546">
        <f t="shared" si="156"/>
        <v>8.6209598416019981E-2</v>
      </c>
      <c r="BU76" s="546">
        <f t="shared" si="157"/>
        <v>0.17578329358876096</v>
      </c>
      <c r="BV76" s="546">
        <f t="shared" si="158"/>
        <v>2.7874074074074075E-2</v>
      </c>
      <c r="BW76" s="472">
        <f t="shared" si="171"/>
        <v>203.65736766283504</v>
      </c>
      <c r="BX76" s="179">
        <f t="shared" si="172"/>
        <v>0.65518827826593029</v>
      </c>
      <c r="BY76" s="6">
        <f t="shared" si="173"/>
        <v>3.55</v>
      </c>
      <c r="BZ76" s="179">
        <f t="shared" si="174"/>
        <v>0.84419525716548738</v>
      </c>
      <c r="CA76" s="6">
        <f t="shared" si="175"/>
        <v>84.419525716548733</v>
      </c>
      <c r="CD76" s="581">
        <f t="shared" si="159"/>
        <v>-50</v>
      </c>
      <c r="CE76">
        <f t="shared" si="160"/>
        <v>-50</v>
      </c>
    </row>
    <row r="77" spans="5:83" x14ac:dyDescent="0.2">
      <c r="E77" s="176">
        <v>72</v>
      </c>
      <c r="F77" s="223">
        <f t="shared" si="161"/>
        <v>0.72</v>
      </c>
      <c r="G77" s="223"/>
      <c r="H77" s="223">
        <f t="shared" si="113"/>
        <v>3.5999999999999996</v>
      </c>
      <c r="I77" s="559">
        <f t="shared" si="114"/>
        <v>24</v>
      </c>
      <c r="J77" s="178">
        <f t="shared" si="115"/>
        <v>15.899999999999999</v>
      </c>
      <c r="K77" s="454">
        <f t="shared" si="116"/>
        <v>39.9</v>
      </c>
      <c r="L77" s="454"/>
      <c r="M77" s="223">
        <f t="shared" si="117"/>
        <v>0.39849624060150374</v>
      </c>
      <c r="N77" s="178">
        <f t="shared" si="118"/>
        <v>6.4556390977443598</v>
      </c>
      <c r="O77" s="178">
        <f t="shared" si="162"/>
        <v>3.5999999999999996</v>
      </c>
      <c r="P77" s="223">
        <f t="shared" si="119"/>
        <v>1.291127819548872</v>
      </c>
      <c r="Q77" s="223">
        <f t="shared" si="120"/>
        <v>5</v>
      </c>
      <c r="R77" s="223">
        <f t="shared" si="121"/>
        <v>1.4345864661654135</v>
      </c>
      <c r="S77" s="178">
        <f t="shared" si="122"/>
        <v>14.66042326857432</v>
      </c>
      <c r="T77" s="178">
        <f t="shared" si="123"/>
        <v>5</v>
      </c>
      <c r="U77" s="223">
        <f t="shared" si="124"/>
        <v>0.83647798742138357</v>
      </c>
      <c r="V77" s="223">
        <f t="shared" si="125"/>
        <v>1.0455974842767295</v>
      </c>
      <c r="W77" s="223">
        <f t="shared" si="126"/>
        <v>1.578260353625252</v>
      </c>
      <c r="X77" s="203">
        <f t="shared" si="127"/>
        <v>350</v>
      </c>
      <c r="Y77" s="454">
        <f t="shared" si="163"/>
        <v>350</v>
      </c>
      <c r="AA77" s="223">
        <f t="shared" si="128"/>
        <v>0.91084854994629427</v>
      </c>
      <c r="AB77" s="179">
        <f t="shared" si="129"/>
        <v>1.7185821697099894</v>
      </c>
      <c r="AC77" s="179">
        <f t="shared" si="130"/>
        <v>0.82181824055304764</v>
      </c>
      <c r="AD77" s="179"/>
      <c r="AE77" s="179">
        <f t="shared" si="131"/>
        <v>0.5660377358490567</v>
      </c>
      <c r="AF77" s="563">
        <f t="shared" si="176"/>
        <v>2826.6666666666661</v>
      </c>
      <c r="AG77" s="546">
        <f t="shared" si="132"/>
        <v>8.9150943396226423E-2</v>
      </c>
      <c r="AI77" s="179">
        <f t="shared" si="133"/>
        <v>0.89867627520651028</v>
      </c>
      <c r="AJ77" s="179">
        <f t="shared" si="134"/>
        <v>0.89867627520651028</v>
      </c>
      <c r="AK77" s="179">
        <f t="shared" si="135"/>
        <v>1.6434639075603779</v>
      </c>
      <c r="AM77" s="563">
        <f t="shared" si="136"/>
        <v>720</v>
      </c>
      <c r="AN77" s="472">
        <f t="shared" si="137"/>
        <v>350</v>
      </c>
      <c r="AP77">
        <f t="shared" si="138"/>
        <v>720</v>
      </c>
      <c r="AQ77">
        <f t="shared" si="139"/>
        <v>350</v>
      </c>
      <c r="AS77" s="6">
        <f t="shared" si="164"/>
        <v>2.8571428571428572</v>
      </c>
      <c r="AT77" s="6">
        <f t="shared" si="140"/>
        <v>1.123345344008138</v>
      </c>
      <c r="AU77" s="6">
        <f t="shared" si="165"/>
        <v>1.7337975131347192</v>
      </c>
      <c r="AV77" s="6">
        <f t="shared" si="141"/>
        <v>1.6956156135971894</v>
      </c>
      <c r="AW77" s="179">
        <f t="shared" si="166"/>
        <v>0.39317087040284832</v>
      </c>
      <c r="AX77" s="179">
        <f t="shared" si="142"/>
        <v>4.2399999999999993</v>
      </c>
      <c r="AY77" s="179">
        <f t="shared" si="143"/>
        <v>0.81801441280976561</v>
      </c>
      <c r="AZ77" s="179">
        <f t="shared" si="167"/>
        <v>5.1832827559066956</v>
      </c>
      <c r="BA77" s="472">
        <f t="shared" si="144"/>
        <v>16.176172953717188</v>
      </c>
      <c r="BB77" s="6">
        <f t="shared" si="145"/>
        <v>0.24080521015759984</v>
      </c>
      <c r="BC77" s="6"/>
      <c r="BD77" s="179">
        <f t="shared" si="168"/>
        <v>0.32533689405819538</v>
      </c>
      <c r="BE77" s="179">
        <f t="shared" si="146"/>
        <v>1.2125429028031305</v>
      </c>
      <c r="BF77" s="179"/>
      <c r="BG77" s="546">
        <f t="shared" si="147"/>
        <v>3.7045433122401702E-2</v>
      </c>
      <c r="BH77" s="546">
        <f t="shared" si="148"/>
        <v>9.4125106374441839E-2</v>
      </c>
      <c r="BI77" s="546">
        <f t="shared" si="149"/>
        <v>4.3749999999999995E-3</v>
      </c>
      <c r="BJ77" s="546">
        <f t="shared" si="150"/>
        <v>2.7860175000000001E-2</v>
      </c>
      <c r="BK77">
        <f t="shared" si="151"/>
        <v>6.96E-3</v>
      </c>
      <c r="BL77" s="546">
        <f t="shared" si="152"/>
        <v>0.17764717013735282</v>
      </c>
      <c r="BM77" s="472">
        <f t="shared" si="169"/>
        <v>177.64717013735282</v>
      </c>
      <c r="BN77" s="546">
        <f t="shared" si="153"/>
        <v>0.27936</v>
      </c>
      <c r="BO77" s="546"/>
      <c r="BQ77" s="472">
        <f t="shared" si="170"/>
        <v>279.36</v>
      </c>
      <c r="BR77" s="546">
        <f t="shared" si="154"/>
        <v>2.1168818927086691E-2</v>
      </c>
      <c r="BS77" s="546">
        <f t="shared" si="155"/>
        <v>5.8810411645529678E-2</v>
      </c>
      <c r="BT77" s="546">
        <f t="shared" si="156"/>
        <v>8.7730035823030128E-2</v>
      </c>
      <c r="BU77" s="546">
        <f t="shared" si="157"/>
        <v>0.17844854827136397</v>
      </c>
      <c r="BV77" s="546">
        <f t="shared" si="158"/>
        <v>2.8266666666666662E-2</v>
      </c>
      <c r="BW77" s="472">
        <f t="shared" si="171"/>
        <v>206.71521493803064</v>
      </c>
      <c r="BX77" s="179">
        <f t="shared" si="172"/>
        <v>0.6637223850753835</v>
      </c>
      <c r="BY77" s="6">
        <f t="shared" si="173"/>
        <v>3.5999999999999996</v>
      </c>
      <c r="BZ77" s="179">
        <f t="shared" si="174"/>
        <v>0.84433264524945184</v>
      </c>
      <c r="CA77" s="6">
        <f t="shared" si="175"/>
        <v>84.433264524945187</v>
      </c>
      <c r="CD77" s="581">
        <f t="shared" si="159"/>
        <v>-50</v>
      </c>
      <c r="CE77">
        <f t="shared" si="160"/>
        <v>-50</v>
      </c>
    </row>
    <row r="78" spans="5:83" x14ac:dyDescent="0.2">
      <c r="E78" s="176">
        <v>73</v>
      </c>
      <c r="F78" s="223">
        <f t="shared" si="161"/>
        <v>0.73</v>
      </c>
      <c r="G78" s="223"/>
      <c r="H78" s="223">
        <f t="shared" si="113"/>
        <v>3.65</v>
      </c>
      <c r="I78" s="559">
        <f t="shared" si="114"/>
        <v>24</v>
      </c>
      <c r="J78" s="178">
        <f t="shared" si="115"/>
        <v>15.899999999999999</v>
      </c>
      <c r="K78" s="454">
        <f t="shared" si="116"/>
        <v>39.9</v>
      </c>
      <c r="L78" s="454"/>
      <c r="M78" s="223">
        <f t="shared" si="117"/>
        <v>0.39849624060150374</v>
      </c>
      <c r="N78" s="178">
        <f t="shared" si="118"/>
        <v>6.4556390977443598</v>
      </c>
      <c r="O78" s="178">
        <f t="shared" si="162"/>
        <v>3.65</v>
      </c>
      <c r="P78" s="223">
        <f t="shared" si="119"/>
        <v>1.291127819548872</v>
      </c>
      <c r="Q78" s="223">
        <f t="shared" si="120"/>
        <v>5</v>
      </c>
      <c r="R78" s="223">
        <f t="shared" si="121"/>
        <v>1.4345864661654135</v>
      </c>
      <c r="S78" s="178">
        <f t="shared" si="122"/>
        <v>14.355541404604027</v>
      </c>
      <c r="T78" s="178">
        <f t="shared" si="123"/>
        <v>5</v>
      </c>
      <c r="U78" s="223">
        <f t="shared" si="124"/>
        <v>0.84809573724668064</v>
      </c>
      <c r="V78" s="223">
        <f t="shared" si="125"/>
        <v>1.060119671558351</v>
      </c>
      <c r="W78" s="223">
        <f t="shared" si="126"/>
        <v>1.6001806363144919</v>
      </c>
      <c r="X78" s="203">
        <f t="shared" si="127"/>
        <v>350</v>
      </c>
      <c r="Y78" s="454">
        <f t="shared" si="163"/>
        <v>350</v>
      </c>
      <c r="AA78" s="223">
        <f t="shared" si="128"/>
        <v>0.91084854994629427</v>
      </c>
      <c r="AB78" s="179">
        <f t="shared" si="129"/>
        <v>1.7185821697099894</v>
      </c>
      <c r="AC78" s="179">
        <f t="shared" si="130"/>
        <v>0.82181824055304764</v>
      </c>
      <c r="AD78" s="179"/>
      <c r="AE78" s="179">
        <f t="shared" si="131"/>
        <v>0.5660377358490567</v>
      </c>
      <c r="AF78" s="563">
        <f t="shared" si="176"/>
        <v>2865.9259259259252</v>
      </c>
      <c r="AG78" s="546">
        <f t="shared" si="132"/>
        <v>8.9150943396226423E-2</v>
      </c>
      <c r="AI78" s="179">
        <f t="shared" si="133"/>
        <v>0.90489556239158264</v>
      </c>
      <c r="AJ78" s="179">
        <f t="shared" si="134"/>
        <v>0.90489556239158264</v>
      </c>
      <c r="AK78" s="179">
        <f t="shared" si="135"/>
        <v>1.6480707869567279</v>
      </c>
      <c r="AM78" s="563">
        <f t="shared" si="136"/>
        <v>730</v>
      </c>
      <c r="AN78" s="472">
        <f t="shared" si="137"/>
        <v>350</v>
      </c>
      <c r="AP78">
        <f t="shared" si="138"/>
        <v>730</v>
      </c>
      <c r="AQ78">
        <f t="shared" si="139"/>
        <v>350</v>
      </c>
      <c r="AS78" s="6">
        <f t="shared" si="164"/>
        <v>2.8571428571428572</v>
      </c>
      <c r="AT78" s="6">
        <f t="shared" si="140"/>
        <v>1.1311194529894784</v>
      </c>
      <c r="AU78" s="6">
        <f t="shared" si="165"/>
        <v>1.7260234041533788</v>
      </c>
      <c r="AV78" s="6">
        <f t="shared" si="141"/>
        <v>1.7073501177199675</v>
      </c>
      <c r="AW78" s="179">
        <f t="shared" si="166"/>
        <v>0.39589180854631739</v>
      </c>
      <c r="AX78" s="179">
        <f t="shared" si="142"/>
        <v>4.2988888888888876</v>
      </c>
      <c r="AY78" s="179">
        <f t="shared" si="143"/>
        <v>0.8199822324762629</v>
      </c>
      <c r="AZ78" s="179">
        <f t="shared" si="167"/>
        <v>5.2426610219427321</v>
      </c>
      <c r="BA78" s="472">
        <f t="shared" si="144"/>
        <v>16.514344013646383</v>
      </c>
      <c r="BB78" s="6">
        <f t="shared" si="145"/>
        <v>0.24305499325462315</v>
      </c>
      <c r="BC78" s="6"/>
      <c r="BD78" s="179">
        <f t="shared" si="168"/>
        <v>0.32871997027062899</v>
      </c>
      <c r="BE78" s="179">
        <f t="shared" si="146"/>
        <v>1.2181939774992432</v>
      </c>
      <c r="BF78" s="179"/>
      <c r="BG78" s="546">
        <f t="shared" si="147"/>
        <v>3.781988659915312E-2</v>
      </c>
      <c r="BH78" s="546">
        <f t="shared" si="148"/>
        <v>9.4776498965988373E-2</v>
      </c>
      <c r="BI78" s="546">
        <f t="shared" si="149"/>
        <v>4.3749999999999995E-3</v>
      </c>
      <c r="BJ78" s="546">
        <f t="shared" si="150"/>
        <v>2.7860175000000001E-2</v>
      </c>
      <c r="BK78">
        <f t="shared" si="151"/>
        <v>6.96E-3</v>
      </c>
      <c r="BL78" s="546">
        <f t="shared" si="152"/>
        <v>0.17924619325434263</v>
      </c>
      <c r="BM78" s="472">
        <f t="shared" si="169"/>
        <v>179.24619325434261</v>
      </c>
      <c r="BN78" s="546">
        <f t="shared" si="153"/>
        <v>0.28323999999999999</v>
      </c>
      <c r="BO78" s="546"/>
      <c r="BQ78" s="472">
        <f t="shared" si="170"/>
        <v>283.24</v>
      </c>
      <c r="BR78" s="546">
        <f t="shared" si="154"/>
        <v>2.1611363770944643E-2</v>
      </c>
      <c r="BS78" s="546">
        <f t="shared" si="155"/>
        <v>5.9359862672617066E-2</v>
      </c>
      <c r="BT78" s="546">
        <f t="shared" si="156"/>
        <v>8.9255761851696133E-2</v>
      </c>
      <c r="BU78" s="546">
        <f t="shared" si="157"/>
        <v>0.1811167551318858</v>
      </c>
      <c r="BV78" s="546">
        <f t="shared" si="158"/>
        <v>2.8659259259259252E-2</v>
      </c>
      <c r="BW78" s="472">
        <f t="shared" si="171"/>
        <v>209.77601439114505</v>
      </c>
      <c r="BX78" s="179">
        <f t="shared" si="172"/>
        <v>0.67226220764548772</v>
      </c>
      <c r="BY78" s="6">
        <f t="shared" si="173"/>
        <v>3.65</v>
      </c>
      <c r="BZ78" s="179">
        <f t="shared" si="174"/>
        <v>0.84446519545798304</v>
      </c>
      <c r="CA78" s="6">
        <f t="shared" si="175"/>
        <v>84.44651954579831</v>
      </c>
      <c r="CD78" s="581">
        <f t="shared" si="159"/>
        <v>-50</v>
      </c>
      <c r="CE78">
        <f t="shared" si="160"/>
        <v>-50</v>
      </c>
    </row>
    <row r="79" spans="5:83" x14ac:dyDescent="0.2">
      <c r="E79" s="176">
        <v>74</v>
      </c>
      <c r="F79" s="223">
        <f t="shared" si="161"/>
        <v>0.74</v>
      </c>
      <c r="G79" s="223"/>
      <c r="H79" s="223">
        <f t="shared" si="113"/>
        <v>3.7</v>
      </c>
      <c r="I79" s="559">
        <f t="shared" si="114"/>
        <v>24</v>
      </c>
      <c r="J79" s="178">
        <f t="shared" si="115"/>
        <v>15.899999999999999</v>
      </c>
      <c r="K79" s="454">
        <f t="shared" si="116"/>
        <v>39.9</v>
      </c>
      <c r="L79" s="454"/>
      <c r="M79" s="223">
        <f t="shared" si="117"/>
        <v>0.39849624060150374</v>
      </c>
      <c r="N79" s="178">
        <f t="shared" si="118"/>
        <v>6.4556390977443598</v>
      </c>
      <c r="O79" s="178">
        <f t="shared" si="162"/>
        <v>3.7</v>
      </c>
      <c r="P79" s="223">
        <f t="shared" si="119"/>
        <v>1.291127819548872</v>
      </c>
      <c r="Q79" s="223">
        <f t="shared" si="120"/>
        <v>5</v>
      </c>
      <c r="R79" s="223">
        <f t="shared" si="121"/>
        <v>1.4345864661654135</v>
      </c>
      <c r="S79" s="178">
        <f t="shared" si="122"/>
        <v>14.059034054167316</v>
      </c>
      <c r="T79" s="178">
        <f t="shared" si="123"/>
        <v>5</v>
      </c>
      <c r="U79" s="223">
        <f t="shared" si="124"/>
        <v>0.85971348707197759</v>
      </c>
      <c r="V79" s="223">
        <f t="shared" si="125"/>
        <v>1.0746418588399722</v>
      </c>
      <c r="W79" s="223">
        <f t="shared" si="126"/>
        <v>1.6221009190037317</v>
      </c>
      <c r="X79" s="203">
        <f t="shared" si="127"/>
        <v>350</v>
      </c>
      <c r="Y79" s="454">
        <f t="shared" si="163"/>
        <v>350</v>
      </c>
      <c r="AA79" s="223">
        <f t="shared" si="128"/>
        <v>0.91084854994629427</v>
      </c>
      <c r="AB79" s="179">
        <f t="shared" si="129"/>
        <v>1.7185821697099894</v>
      </c>
      <c r="AC79" s="179">
        <f t="shared" si="130"/>
        <v>0.82181824055304764</v>
      </c>
      <c r="AD79" s="179"/>
      <c r="AE79" s="179">
        <f t="shared" si="131"/>
        <v>0.5660377358490567</v>
      </c>
      <c r="AF79" s="563">
        <f t="shared" si="176"/>
        <v>2905.1851851851848</v>
      </c>
      <c r="AG79" s="546">
        <f t="shared" si="132"/>
        <v>8.9150943396226423E-2</v>
      </c>
      <c r="AI79" s="179">
        <f t="shared" si="133"/>
        <v>0.91107239561568865</v>
      </c>
      <c r="AJ79" s="179">
        <f t="shared" si="134"/>
        <v>0.91107239561568865</v>
      </c>
      <c r="AK79" s="179">
        <f t="shared" si="135"/>
        <v>1.6526462189745841</v>
      </c>
      <c r="AM79" s="563">
        <f t="shared" si="136"/>
        <v>740</v>
      </c>
      <c r="AN79" s="472">
        <f t="shared" si="137"/>
        <v>350</v>
      </c>
      <c r="AP79">
        <f t="shared" si="138"/>
        <v>740</v>
      </c>
      <c r="AQ79">
        <f t="shared" si="139"/>
        <v>350</v>
      </c>
      <c r="AS79" s="6">
        <f t="shared" si="164"/>
        <v>2.8571428571428572</v>
      </c>
      <c r="AT79" s="6">
        <f t="shared" si="140"/>
        <v>1.1388404945196109</v>
      </c>
      <c r="AU79" s="6">
        <f t="shared" si="165"/>
        <v>1.7183023626232463</v>
      </c>
      <c r="AV79" s="6">
        <f t="shared" si="141"/>
        <v>1.7190045200296014</v>
      </c>
      <c r="AW79" s="179">
        <f t="shared" si="166"/>
        <v>0.39859417308186379</v>
      </c>
      <c r="AX79" s="179">
        <f t="shared" si="142"/>
        <v>4.3577777777777769</v>
      </c>
      <c r="AY79" s="179">
        <f t="shared" si="143"/>
        <v>0.82188637120131081</v>
      </c>
      <c r="AZ79" s="179">
        <f t="shared" si="167"/>
        <v>5.3021657621700529</v>
      </c>
      <c r="BA79" s="472">
        <f t="shared" si="144"/>
        <v>16.854839318890239</v>
      </c>
      <c r="BB79" s="6">
        <f t="shared" si="145"/>
        <v>0.24528235886211461</v>
      </c>
      <c r="BC79" s="6"/>
      <c r="BD79" s="179">
        <f t="shared" si="168"/>
        <v>0.33209148001553945</v>
      </c>
      <c r="BE79" s="179">
        <f t="shared" si="146"/>
        <v>1.2237630368124897</v>
      </c>
      <c r="BF79" s="179"/>
      <c r="BG79" s="546">
        <f t="shared" si="147"/>
        <v>3.8599662884619003E-2</v>
      </c>
      <c r="BH79" s="546">
        <f t="shared" si="148"/>
        <v>9.5423445035798179E-2</v>
      </c>
      <c r="BI79" s="546">
        <f t="shared" si="149"/>
        <v>4.3749999999999995E-3</v>
      </c>
      <c r="BJ79" s="546">
        <f t="shared" si="150"/>
        <v>2.7860175000000001E-2</v>
      </c>
      <c r="BK79">
        <f t="shared" si="151"/>
        <v>6.96E-3</v>
      </c>
      <c r="BL79" s="546">
        <f t="shared" si="152"/>
        <v>0.18084804074505545</v>
      </c>
      <c r="BM79" s="472">
        <f t="shared" si="169"/>
        <v>180.84804074505544</v>
      </c>
      <c r="BN79" s="546">
        <f t="shared" si="153"/>
        <v>0.28711999999999999</v>
      </c>
      <c r="BO79" s="546"/>
      <c r="BQ79" s="472">
        <f t="shared" si="170"/>
        <v>287.12</v>
      </c>
      <c r="BR79" s="546">
        <f t="shared" si="154"/>
        <v>2.2056950219782288E-2</v>
      </c>
      <c r="BS79" s="546">
        <f t="shared" si="155"/>
        <v>5.9903838810741072E-2</v>
      </c>
      <c r="BT79" s="546">
        <f t="shared" si="156"/>
        <v>9.0786722070283946E-2</v>
      </c>
      <c r="BU79" s="546">
        <f t="shared" si="157"/>
        <v>0.18378787774239105</v>
      </c>
      <c r="BV79" s="546">
        <f t="shared" si="158"/>
        <v>2.905185185185185E-2</v>
      </c>
      <c r="BW79" s="472">
        <f t="shared" si="171"/>
        <v>212.8397295942429</v>
      </c>
      <c r="BX79" s="179">
        <f t="shared" si="172"/>
        <v>0.6808077703392984</v>
      </c>
      <c r="BY79" s="6">
        <f t="shared" si="173"/>
        <v>3.7</v>
      </c>
      <c r="BZ79" s="179">
        <f t="shared" si="174"/>
        <v>0.84459309651777548</v>
      </c>
      <c r="CA79" s="6">
        <f t="shared" si="175"/>
        <v>84.459309651777545</v>
      </c>
      <c r="CD79" s="581">
        <f t="shared" si="159"/>
        <v>-50</v>
      </c>
      <c r="CE79">
        <f t="shared" si="160"/>
        <v>-50</v>
      </c>
    </row>
    <row r="80" spans="5:83" x14ac:dyDescent="0.2">
      <c r="E80" s="176">
        <v>75</v>
      </c>
      <c r="F80" s="223">
        <f t="shared" si="161"/>
        <v>0.75</v>
      </c>
      <c r="G80" s="223"/>
      <c r="H80" s="223">
        <f t="shared" si="113"/>
        <v>3.75</v>
      </c>
      <c r="I80" s="559">
        <f t="shared" si="114"/>
        <v>24</v>
      </c>
      <c r="J80" s="178">
        <f t="shared" si="115"/>
        <v>15.899999999999999</v>
      </c>
      <c r="K80" s="454">
        <f t="shared" si="116"/>
        <v>39.9</v>
      </c>
      <c r="L80" s="454"/>
      <c r="M80" s="223">
        <f t="shared" si="117"/>
        <v>0.39849624060150374</v>
      </c>
      <c r="N80" s="178">
        <f t="shared" si="118"/>
        <v>6.4556390977443598</v>
      </c>
      <c r="O80" s="178">
        <f t="shared" si="162"/>
        <v>3.75</v>
      </c>
      <c r="P80" s="223">
        <f t="shared" si="119"/>
        <v>1.291127819548872</v>
      </c>
      <c r="Q80" s="223">
        <f t="shared" si="120"/>
        <v>5</v>
      </c>
      <c r="R80" s="223">
        <f t="shared" si="121"/>
        <v>1.4345864661654135</v>
      </c>
      <c r="S80" s="178">
        <f t="shared" si="122"/>
        <v>13.770568797504874</v>
      </c>
      <c r="T80" s="178">
        <f t="shared" si="123"/>
        <v>5</v>
      </c>
      <c r="U80" s="223">
        <f t="shared" si="124"/>
        <v>0.87133123689727454</v>
      </c>
      <c r="V80" s="223">
        <f t="shared" si="125"/>
        <v>1.0891640461215932</v>
      </c>
      <c r="W80" s="223">
        <f t="shared" si="126"/>
        <v>1.6440212016929709</v>
      </c>
      <c r="X80" s="203">
        <f t="shared" si="127"/>
        <v>350</v>
      </c>
      <c r="Y80" s="454">
        <f t="shared" si="163"/>
        <v>350</v>
      </c>
      <c r="AA80" s="223">
        <f t="shared" si="128"/>
        <v>0.91084854994629427</v>
      </c>
      <c r="AB80" s="179">
        <f t="shared" si="129"/>
        <v>1.7185821697099894</v>
      </c>
      <c r="AC80" s="179">
        <f t="shared" si="130"/>
        <v>0.82181824055304764</v>
      </c>
      <c r="AD80" s="179"/>
      <c r="AE80" s="179">
        <f t="shared" si="131"/>
        <v>0.5660377358490567</v>
      </c>
      <c r="AF80" s="563">
        <f t="shared" si="176"/>
        <v>2944.4444444444439</v>
      </c>
      <c r="AG80" s="546">
        <f t="shared" si="132"/>
        <v>8.9150943396226423E-2</v>
      </c>
      <c r="AI80" s="179">
        <f t="shared" si="133"/>
        <v>0.91720763258372473</v>
      </c>
      <c r="AJ80" s="179">
        <f t="shared" si="134"/>
        <v>0.91720763258372473</v>
      </c>
      <c r="AK80" s="179">
        <f t="shared" si="135"/>
        <v>1.6571908389509074</v>
      </c>
      <c r="AM80" s="563">
        <f t="shared" si="136"/>
        <v>750</v>
      </c>
      <c r="AN80" s="472">
        <f t="shared" si="137"/>
        <v>350</v>
      </c>
      <c r="AP80">
        <f t="shared" si="138"/>
        <v>750</v>
      </c>
      <c r="AQ80">
        <f t="shared" si="139"/>
        <v>350</v>
      </c>
      <c r="AS80" s="6">
        <f t="shared" si="164"/>
        <v>2.8571428571428572</v>
      </c>
      <c r="AT80" s="6">
        <f t="shared" si="140"/>
        <v>1.1465095407296557</v>
      </c>
      <c r="AU80" s="6">
        <f t="shared" si="165"/>
        <v>1.7106333164132015</v>
      </c>
      <c r="AV80" s="6">
        <f t="shared" si="141"/>
        <v>1.7305804388372166</v>
      </c>
      <c r="AW80" s="179">
        <f t="shared" si="166"/>
        <v>0.40127833925537948</v>
      </c>
      <c r="AX80" s="179">
        <f t="shared" si="142"/>
        <v>4.4166666666666652</v>
      </c>
      <c r="AY80" s="179">
        <f t="shared" si="143"/>
        <v>0.823728115542254</v>
      </c>
      <c r="AZ80" s="179">
        <f t="shared" si="167"/>
        <v>5.3618015256881293</v>
      </c>
      <c r="BA80" s="472">
        <f t="shared" si="144"/>
        <v>17.197643110944835</v>
      </c>
      <c r="BB80" s="6">
        <f t="shared" si="145"/>
        <v>0.24748745897181734</v>
      </c>
      <c r="BC80" s="6"/>
      <c r="BD80" s="179">
        <f t="shared" si="168"/>
        <v>0.33545161835471821</v>
      </c>
      <c r="BE80" s="179">
        <f t="shared" si="146"/>
        <v>1.2292515729086246</v>
      </c>
      <c r="BF80" s="179"/>
      <c r="BG80" s="546">
        <f t="shared" si="147"/>
        <v>3.9384725889879825E-2</v>
      </c>
      <c r="BH80" s="546">
        <f t="shared" si="148"/>
        <v>9.6066034417737853E-2</v>
      </c>
      <c r="BI80" s="546">
        <f t="shared" si="149"/>
        <v>4.3749999999999995E-3</v>
      </c>
      <c r="BJ80" s="546">
        <f t="shared" si="150"/>
        <v>2.7860175000000001E-2</v>
      </c>
      <c r="BK80">
        <f t="shared" si="151"/>
        <v>6.96E-3</v>
      </c>
      <c r="BL80" s="546">
        <f t="shared" si="152"/>
        <v>0.18245277115231154</v>
      </c>
      <c r="BM80" s="472">
        <f t="shared" si="169"/>
        <v>182.45277115231153</v>
      </c>
      <c r="BN80" s="546">
        <f t="shared" si="153"/>
        <v>0.29100000000000004</v>
      </c>
      <c r="BO80" s="546"/>
      <c r="BQ80" s="472">
        <f t="shared" si="170"/>
        <v>291.00000000000006</v>
      </c>
      <c r="BR80" s="546">
        <f t="shared" si="154"/>
        <v>2.2505557651359906E-2</v>
      </c>
      <c r="BS80" s="546">
        <f t="shared" si="155"/>
        <v>6.0442377179933109E-2</v>
      </c>
      <c r="BT80" s="546">
        <f t="shared" si="156"/>
        <v>9.2322863336597893E-2</v>
      </c>
      <c r="BU80" s="546">
        <f t="shared" si="157"/>
        <v>0.18646188058116339</v>
      </c>
      <c r="BV80" s="546">
        <f t="shared" si="158"/>
        <v>2.9444444444444433E-2</v>
      </c>
      <c r="BW80" s="472">
        <f t="shared" si="171"/>
        <v>215.90632502560783</v>
      </c>
      <c r="BX80" s="179">
        <f t="shared" si="172"/>
        <v>0.68935909617791935</v>
      </c>
      <c r="BY80" s="6">
        <f t="shared" si="173"/>
        <v>3.75</v>
      </c>
      <c r="BZ80" s="179">
        <f t="shared" si="174"/>
        <v>0.84471652748897352</v>
      </c>
      <c r="CA80" s="6">
        <f t="shared" si="175"/>
        <v>84.471652748897355</v>
      </c>
      <c r="CD80" s="581">
        <f t="shared" si="159"/>
        <v>-50</v>
      </c>
      <c r="CE80">
        <f t="shared" si="160"/>
        <v>-50</v>
      </c>
    </row>
    <row r="81" spans="5:83" x14ac:dyDescent="0.2">
      <c r="E81" s="176">
        <v>76</v>
      </c>
      <c r="F81" s="223">
        <f t="shared" si="161"/>
        <v>0.76</v>
      </c>
      <c r="G81" s="223"/>
      <c r="H81" s="223">
        <f t="shared" si="113"/>
        <v>3.8</v>
      </c>
      <c r="I81" s="559">
        <f t="shared" si="114"/>
        <v>24</v>
      </c>
      <c r="J81" s="178">
        <f t="shared" si="115"/>
        <v>15.899999999999999</v>
      </c>
      <c r="K81" s="454">
        <f t="shared" si="116"/>
        <v>39.9</v>
      </c>
      <c r="L81" s="454"/>
      <c r="M81" s="223">
        <f t="shared" si="117"/>
        <v>0.39849624060150374</v>
      </c>
      <c r="N81" s="178">
        <f t="shared" si="118"/>
        <v>6.4556390977443598</v>
      </c>
      <c r="O81" s="178">
        <f t="shared" si="162"/>
        <v>3.8</v>
      </c>
      <c r="P81" s="223">
        <f t="shared" si="119"/>
        <v>1.291127819548872</v>
      </c>
      <c r="Q81" s="223">
        <f t="shared" si="120"/>
        <v>5</v>
      </c>
      <c r="R81" s="223">
        <f t="shared" si="121"/>
        <v>1.4345864661654135</v>
      </c>
      <c r="S81" s="178">
        <f t="shared" si="122"/>
        <v>13.48983076833956</v>
      </c>
      <c r="T81" s="178">
        <f t="shared" si="123"/>
        <v>5</v>
      </c>
      <c r="U81" s="223">
        <f t="shared" si="124"/>
        <v>0.8829489867225716</v>
      </c>
      <c r="V81" s="223">
        <f t="shared" si="125"/>
        <v>1.1036862334032147</v>
      </c>
      <c r="W81" s="223">
        <f t="shared" si="126"/>
        <v>1.6659414843822109</v>
      </c>
      <c r="X81" s="203">
        <f t="shared" si="127"/>
        <v>350</v>
      </c>
      <c r="Y81" s="454">
        <f t="shared" si="163"/>
        <v>350</v>
      </c>
      <c r="AA81" s="223">
        <f t="shared" si="128"/>
        <v>0.91084854994629427</v>
      </c>
      <c r="AB81" s="179">
        <f t="shared" si="129"/>
        <v>1.7185821697099894</v>
      </c>
      <c r="AC81" s="179">
        <f t="shared" si="130"/>
        <v>0.82181824055304764</v>
      </c>
      <c r="AD81" s="179"/>
      <c r="AE81" s="179">
        <f t="shared" si="131"/>
        <v>0.5660377358490567</v>
      </c>
      <c r="AF81" s="563">
        <f t="shared" si="176"/>
        <v>2983.7037037037035</v>
      </c>
      <c r="AG81" s="546">
        <f t="shared" si="132"/>
        <v>8.9150943396226423E-2</v>
      </c>
      <c r="AI81" s="179">
        <f t="shared" si="133"/>
        <v>0.92330210250316902</v>
      </c>
      <c r="AJ81" s="179">
        <f t="shared" si="134"/>
        <v>0.92330210250316902</v>
      </c>
      <c r="AK81" s="179">
        <f t="shared" si="135"/>
        <v>1.6617052611134586</v>
      </c>
      <c r="AM81" s="563">
        <f t="shared" si="136"/>
        <v>760</v>
      </c>
      <c r="AN81" s="472">
        <f t="shared" si="137"/>
        <v>350</v>
      </c>
      <c r="AP81">
        <f t="shared" si="138"/>
        <v>760</v>
      </c>
      <c r="AQ81">
        <f t="shared" si="139"/>
        <v>350</v>
      </c>
      <c r="AS81" s="6">
        <f t="shared" si="164"/>
        <v>2.8571428571428572</v>
      </c>
      <c r="AT81" s="6">
        <f t="shared" si="140"/>
        <v>1.1541276281289614</v>
      </c>
      <c r="AU81" s="6">
        <f t="shared" si="165"/>
        <v>1.7030152290138958</v>
      </c>
      <c r="AV81" s="6">
        <f t="shared" si="141"/>
        <v>1.7420794386852245</v>
      </c>
      <c r="AW81" s="179">
        <f t="shared" si="166"/>
        <v>0.40394466984513649</v>
      </c>
      <c r="AX81" s="179">
        <f t="shared" si="142"/>
        <v>4.4755555555555553</v>
      </c>
      <c r="AY81" s="179">
        <f t="shared" si="143"/>
        <v>0.82550870931030895</v>
      </c>
      <c r="AZ81" s="179">
        <f t="shared" si="167"/>
        <v>5.4215727890923953</v>
      </c>
      <c r="BA81" s="472">
        <f t="shared" si="144"/>
        <v>17.542739947560211</v>
      </c>
      <c r="BB81" s="6">
        <f t="shared" si="145"/>
        <v>0.24967044252518528</v>
      </c>
      <c r="BC81" s="6"/>
      <c r="BD81" s="179">
        <f t="shared" si="168"/>
        <v>0.33880057450734213</v>
      </c>
      <c r="BE81" s="179">
        <f t="shared" si="146"/>
        <v>1.234661027927006</v>
      </c>
      <c r="BF81" s="179"/>
      <c r="BG81" s="546">
        <f t="shared" si="147"/>
        <v>4.0175040250276781E-2</v>
      </c>
      <c r="BH81" s="546">
        <f t="shared" si="148"/>
        <v>9.6704353960925638E-2</v>
      </c>
      <c r="BI81" s="546">
        <f t="shared" si="149"/>
        <v>4.3749999999999995E-3</v>
      </c>
      <c r="BJ81" s="546">
        <f t="shared" si="150"/>
        <v>2.7860175000000001E-2</v>
      </c>
      <c r="BK81">
        <f t="shared" si="151"/>
        <v>6.96E-3</v>
      </c>
      <c r="BL81" s="546">
        <f t="shared" si="152"/>
        <v>0.18406044088771747</v>
      </c>
      <c r="BM81" s="472">
        <f t="shared" si="169"/>
        <v>184.06044088771748</v>
      </c>
      <c r="BN81" s="546">
        <f t="shared" si="153"/>
        <v>0.29488000000000003</v>
      </c>
      <c r="BO81" s="546"/>
      <c r="BQ81" s="472">
        <f t="shared" si="170"/>
        <v>294.88000000000005</v>
      </c>
      <c r="BR81" s="546">
        <f t="shared" si="154"/>
        <v>2.295716585730102E-2</v>
      </c>
      <c r="BS81" s="546">
        <f t="shared" si="155"/>
        <v>6.0975514155270853E-2</v>
      </c>
      <c r="BT81" s="546">
        <f t="shared" si="156"/>
        <v>9.3864133750612602E-2</v>
      </c>
      <c r="BU81" s="546">
        <f t="shared" si="157"/>
        <v>0.18913872899821244</v>
      </c>
      <c r="BV81" s="546">
        <f t="shared" si="158"/>
        <v>2.9837037037037033E-2</v>
      </c>
      <c r="BW81" s="472">
        <f t="shared" si="171"/>
        <v>218.97576603524945</v>
      </c>
      <c r="BX81" s="179">
        <f t="shared" si="172"/>
        <v>0.69791620692296685</v>
      </c>
      <c r="BY81" s="6">
        <f t="shared" si="173"/>
        <v>3.8</v>
      </c>
      <c r="BZ81" s="179">
        <f t="shared" si="174"/>
        <v>0.84483565837692365</v>
      </c>
      <c r="CA81" s="6">
        <f t="shared" si="175"/>
        <v>84.483565837692367</v>
      </c>
      <c r="CD81" s="581">
        <f t="shared" si="159"/>
        <v>-50</v>
      </c>
      <c r="CE81">
        <f t="shared" si="160"/>
        <v>-50</v>
      </c>
    </row>
    <row r="82" spans="5:83" x14ac:dyDescent="0.2">
      <c r="E82" s="176">
        <v>77</v>
      </c>
      <c r="F82" s="223">
        <f t="shared" si="161"/>
        <v>0.77</v>
      </c>
      <c r="G82" s="223"/>
      <c r="H82" s="223">
        <f t="shared" si="113"/>
        <v>3.85</v>
      </c>
      <c r="I82" s="559">
        <f t="shared" si="114"/>
        <v>24</v>
      </c>
      <c r="J82" s="178">
        <f t="shared" si="115"/>
        <v>15.899999999999999</v>
      </c>
      <c r="K82" s="454">
        <f t="shared" si="116"/>
        <v>39.9</v>
      </c>
      <c r="L82" s="454"/>
      <c r="M82" s="223">
        <f t="shared" si="117"/>
        <v>0.39849624060150374</v>
      </c>
      <c r="N82" s="178">
        <f t="shared" si="118"/>
        <v>6.4556390977443598</v>
      </c>
      <c r="O82" s="178">
        <f t="shared" si="162"/>
        <v>3.85</v>
      </c>
      <c r="P82" s="223">
        <f t="shared" si="119"/>
        <v>1.291127819548872</v>
      </c>
      <c r="Q82" s="223">
        <f t="shared" si="120"/>
        <v>5</v>
      </c>
      <c r="R82" s="223">
        <f t="shared" si="121"/>
        <v>1.4345864661654135</v>
      </c>
      <c r="S82" s="178">
        <f t="shared" si="122"/>
        <v>13.216521515394753</v>
      </c>
      <c r="T82" s="178">
        <f t="shared" si="123"/>
        <v>5</v>
      </c>
      <c r="U82" s="223">
        <f t="shared" si="124"/>
        <v>0.89456673654786856</v>
      </c>
      <c r="V82" s="223">
        <f t="shared" si="125"/>
        <v>1.1182084206848357</v>
      </c>
      <c r="W82" s="223">
        <f t="shared" si="126"/>
        <v>1.6878617670714502</v>
      </c>
      <c r="X82" s="203">
        <f t="shared" si="127"/>
        <v>350</v>
      </c>
      <c r="Y82" s="454">
        <f t="shared" si="163"/>
        <v>350</v>
      </c>
      <c r="AA82" s="223">
        <f t="shared" si="128"/>
        <v>0.91084854994629427</v>
      </c>
      <c r="AB82" s="179">
        <f t="shared" si="129"/>
        <v>1.7185821697099894</v>
      </c>
      <c r="AC82" s="179">
        <f t="shared" si="130"/>
        <v>0.82181824055304764</v>
      </c>
      <c r="AD82" s="179"/>
      <c r="AE82" s="179">
        <f t="shared" si="131"/>
        <v>0.5660377358490567</v>
      </c>
      <c r="AF82" s="563">
        <f t="shared" si="176"/>
        <v>3022.9629629629626</v>
      </c>
      <c r="AG82" s="546">
        <f t="shared" si="132"/>
        <v>8.9150943396226423E-2</v>
      </c>
      <c r="AI82" s="179">
        <f t="shared" si="133"/>
        <v>0.92935660739228809</v>
      </c>
      <c r="AJ82" s="179">
        <f t="shared" si="134"/>
        <v>0.92935660739228809</v>
      </c>
      <c r="AK82" s="179">
        <f t="shared" si="135"/>
        <v>1.666190079549843</v>
      </c>
      <c r="AM82" s="563">
        <f t="shared" si="136"/>
        <v>770</v>
      </c>
      <c r="AN82" s="472">
        <f t="shared" si="137"/>
        <v>350</v>
      </c>
      <c r="AP82">
        <f t="shared" si="138"/>
        <v>770</v>
      </c>
      <c r="AQ82">
        <f t="shared" si="139"/>
        <v>350</v>
      </c>
      <c r="AS82" s="6">
        <f t="shared" si="164"/>
        <v>2.8571428571428572</v>
      </c>
      <c r="AT82" s="6">
        <f t="shared" si="140"/>
        <v>1.1616957592403603</v>
      </c>
      <c r="AU82" s="6">
        <f t="shared" si="165"/>
        <v>1.6954470979024969</v>
      </c>
      <c r="AV82" s="6">
        <f t="shared" si="141"/>
        <v>1.753503032815638</v>
      </c>
      <c r="AW82" s="179">
        <f t="shared" si="166"/>
        <v>0.40659351573412611</v>
      </c>
      <c r="AX82" s="179">
        <f t="shared" si="142"/>
        <v>4.5344444444444436</v>
      </c>
      <c r="AY82" s="179">
        <f t="shared" si="143"/>
        <v>0.8272293555328768</v>
      </c>
      <c r="AZ82" s="179">
        <f t="shared" si="167"/>
        <v>5.4814839610273358</v>
      </c>
      <c r="BA82" s="472">
        <f t="shared" si="144"/>
        <v>17.890114692301548</v>
      </c>
      <c r="BB82" s="6">
        <f t="shared" si="145"/>
        <v>0.25183145551406677</v>
      </c>
      <c r="BC82" s="6"/>
      <c r="BD82" s="179">
        <f t="shared" si="168"/>
        <v>0.34213853209943818</v>
      </c>
      <c r="BE82" s="179">
        <f t="shared" si="146"/>
        <v>1.2399927962640294</v>
      </c>
      <c r="BF82" s="179"/>
      <c r="BG82" s="546">
        <f t="shared" si="147"/>
        <v>4.0970571301505401E-2</v>
      </c>
      <c r="BH82" s="546">
        <f t="shared" si="148"/>
        <v>9.7338487666749754E-2</v>
      </c>
      <c r="BI82" s="546">
        <f t="shared" si="149"/>
        <v>4.3749999999999995E-3</v>
      </c>
      <c r="BJ82" s="546">
        <f t="shared" si="150"/>
        <v>2.7860175000000001E-2</v>
      </c>
      <c r="BK82">
        <f t="shared" si="151"/>
        <v>6.96E-3</v>
      </c>
      <c r="BL82" s="546">
        <f t="shared" si="152"/>
        <v>0.18567110434135811</v>
      </c>
      <c r="BM82" s="472">
        <f t="shared" si="169"/>
        <v>185.6711043413581</v>
      </c>
      <c r="BN82" s="546">
        <f t="shared" si="153"/>
        <v>0.29876000000000003</v>
      </c>
      <c r="BO82" s="546"/>
      <c r="BQ82" s="472">
        <f t="shared" si="170"/>
        <v>298.76000000000005</v>
      </c>
      <c r="BR82" s="546">
        <f t="shared" si="154"/>
        <v>2.3411755029431658E-2</v>
      </c>
      <c r="BS82" s="546">
        <f t="shared" si="155"/>
        <v>6.1503285391467467E-2</v>
      </c>
      <c r="BT82" s="546">
        <f t="shared" si="156"/>
        <v>9.5410482609446248E-2</v>
      </c>
      <c r="BU82" s="546">
        <f t="shared" si="157"/>
        <v>0.19181838918252575</v>
      </c>
      <c r="BV82" s="546">
        <f t="shared" si="158"/>
        <v>3.0229629629629627E-2</v>
      </c>
      <c r="BW82" s="472">
        <f t="shared" si="171"/>
        <v>222.04801881215539</v>
      </c>
      <c r="BX82" s="179">
        <f t="shared" si="172"/>
        <v>0.70647912315351347</v>
      </c>
      <c r="BY82" s="6">
        <f t="shared" si="173"/>
        <v>3.85</v>
      </c>
      <c r="BZ82" s="179">
        <f t="shared" si="174"/>
        <v>0.8449506506979092</v>
      </c>
      <c r="CA82" s="6">
        <f t="shared" si="175"/>
        <v>84.495065069790925</v>
      </c>
      <c r="CD82" s="581">
        <f t="shared" si="159"/>
        <v>-50</v>
      </c>
      <c r="CE82">
        <f t="shared" si="160"/>
        <v>-50</v>
      </c>
    </row>
    <row r="83" spans="5:83" x14ac:dyDescent="0.2">
      <c r="E83" s="176">
        <v>78</v>
      </c>
      <c r="F83" s="223">
        <f t="shared" si="161"/>
        <v>0.78</v>
      </c>
      <c r="G83" s="223"/>
      <c r="H83" s="223">
        <f t="shared" si="113"/>
        <v>3.9000000000000004</v>
      </c>
      <c r="I83" s="559">
        <f t="shared" si="114"/>
        <v>24</v>
      </c>
      <c r="J83" s="178">
        <f t="shared" si="115"/>
        <v>15.899999999999999</v>
      </c>
      <c r="K83" s="454">
        <f t="shared" si="116"/>
        <v>39.9</v>
      </c>
      <c r="L83" s="454"/>
      <c r="M83" s="223">
        <f t="shared" si="117"/>
        <v>0.39849624060150374</v>
      </c>
      <c r="N83" s="178">
        <f t="shared" si="118"/>
        <v>6.4556390977443598</v>
      </c>
      <c r="O83" s="178">
        <f t="shared" si="162"/>
        <v>3.9000000000000004</v>
      </c>
      <c r="P83" s="223">
        <f t="shared" si="119"/>
        <v>1.291127819548872</v>
      </c>
      <c r="Q83" s="223">
        <f t="shared" si="120"/>
        <v>5</v>
      </c>
      <c r="R83" s="223">
        <f t="shared" si="121"/>
        <v>1.4345864661654135</v>
      </c>
      <c r="S83" s="178">
        <f t="shared" si="122"/>
        <v>12.950357951513856</v>
      </c>
      <c r="T83" s="178">
        <f t="shared" si="123"/>
        <v>5</v>
      </c>
      <c r="U83" s="223">
        <f t="shared" si="124"/>
        <v>0.90618448637316562</v>
      </c>
      <c r="V83" s="223">
        <f t="shared" si="125"/>
        <v>1.1327306079664572</v>
      </c>
      <c r="W83" s="223">
        <f t="shared" si="126"/>
        <v>1.7097820497606899</v>
      </c>
      <c r="X83" s="203">
        <f t="shared" si="127"/>
        <v>350</v>
      </c>
      <c r="Y83" s="454">
        <f t="shared" si="163"/>
        <v>350</v>
      </c>
      <c r="AA83" s="223">
        <f t="shared" si="128"/>
        <v>0.91084854994629427</v>
      </c>
      <c r="AB83" s="179">
        <f t="shared" si="129"/>
        <v>1.7185821697099894</v>
      </c>
      <c r="AC83" s="179">
        <f t="shared" si="130"/>
        <v>0.82181824055304764</v>
      </c>
      <c r="AD83" s="179"/>
      <c r="AE83" s="179">
        <f t="shared" si="131"/>
        <v>0.5660377358490567</v>
      </c>
      <c r="AF83" s="563">
        <f t="shared" si="176"/>
        <v>3062.2222222222217</v>
      </c>
      <c r="AG83" s="546">
        <f t="shared" si="132"/>
        <v>8.9150943396226423E-2</v>
      </c>
      <c r="AI83" s="179">
        <f t="shared" si="133"/>
        <v>0.93537192331213093</v>
      </c>
      <c r="AJ83" s="179">
        <f t="shared" si="134"/>
        <v>0.93537192331213093</v>
      </c>
      <c r="AK83" s="179">
        <f t="shared" si="135"/>
        <v>1.6706458691200969</v>
      </c>
      <c r="AM83" s="563">
        <f t="shared" si="136"/>
        <v>780</v>
      </c>
      <c r="AN83" s="472">
        <f t="shared" si="137"/>
        <v>350</v>
      </c>
      <c r="AP83">
        <f t="shared" si="138"/>
        <v>780</v>
      </c>
      <c r="AQ83">
        <f t="shared" si="139"/>
        <v>350</v>
      </c>
      <c r="AS83" s="6">
        <f t="shared" si="164"/>
        <v>2.8571428571428572</v>
      </c>
      <c r="AT83" s="6">
        <f t="shared" si="140"/>
        <v>1.1692149041401636</v>
      </c>
      <c r="AU83" s="6">
        <f t="shared" si="165"/>
        <v>1.6879279530026936</v>
      </c>
      <c r="AV83" s="6">
        <f t="shared" si="141"/>
        <v>1.7648526854945867</v>
      </c>
      <c r="AW83" s="179">
        <f t="shared" si="166"/>
        <v>0.40922521644905724</v>
      </c>
      <c r="AX83" s="179">
        <f t="shared" si="142"/>
        <v>4.5933333333333337</v>
      </c>
      <c r="AY83" s="179">
        <f t="shared" si="143"/>
        <v>0.82889121830152979</v>
      </c>
      <c r="AZ83" s="179">
        <f t="shared" si="167"/>
        <v>5.5415393864896689</v>
      </c>
      <c r="BA83" s="472">
        <f t="shared" si="144"/>
        <v>18.239752504586551</v>
      </c>
      <c r="BB83" s="6">
        <f t="shared" si="145"/>
        <v>0.25397064107679418</v>
      </c>
      <c r="BC83" s="6"/>
      <c r="BD83" s="179">
        <f t="shared" si="168"/>
        <v>0.34546566939960111</v>
      </c>
      <c r="BE83" s="179">
        <f t="shared" si="146"/>
        <v>1.245248226723682</v>
      </c>
      <c r="BF83" s="179"/>
      <c r="BG83" s="546">
        <f t="shared" si="147"/>
        <v>4.177128505680007E-2</v>
      </c>
      <c r="BH83" s="546">
        <f t="shared" si="148"/>
        <v>9.7968516817904305E-2</v>
      </c>
      <c r="BI83" s="546">
        <f t="shared" si="149"/>
        <v>4.3749999999999995E-3</v>
      </c>
      <c r="BJ83" s="546">
        <f t="shared" si="150"/>
        <v>2.7860175000000001E-2</v>
      </c>
      <c r="BK83">
        <f t="shared" si="151"/>
        <v>6.96E-3</v>
      </c>
      <c r="BL83" s="546">
        <f t="shared" si="152"/>
        <v>0.18728481398475971</v>
      </c>
      <c r="BM83" s="472">
        <f t="shared" si="169"/>
        <v>187.28481398475972</v>
      </c>
      <c r="BN83" s="546">
        <f t="shared" si="153"/>
        <v>0.30264000000000002</v>
      </c>
      <c r="BO83" s="546"/>
      <c r="BQ83" s="472">
        <f t="shared" si="170"/>
        <v>302.64000000000004</v>
      </c>
      <c r="BR83" s="546">
        <f t="shared" si="154"/>
        <v>2.3869305746742897E-2</v>
      </c>
      <c r="BS83" s="546">
        <f t="shared" si="155"/>
        <v>6.2025725846338982E-2</v>
      </c>
      <c r="BT83" s="546">
        <f t="shared" si="156"/>
        <v>9.6961860364531041E-2</v>
      </c>
      <c r="BU83" s="546">
        <f t="shared" si="157"/>
        <v>0.19450082813095787</v>
      </c>
      <c r="BV83" s="546">
        <f t="shared" si="158"/>
        <v>3.0622222222222224E-2</v>
      </c>
      <c r="BW83" s="472">
        <f t="shared" si="171"/>
        <v>225.12305035318008</v>
      </c>
      <c r="BX83" s="179">
        <f t="shared" si="172"/>
        <v>0.71504786433793976</v>
      </c>
      <c r="BY83" s="6">
        <f t="shared" si="173"/>
        <v>3.9000000000000004</v>
      </c>
      <c r="BZ83" s="179">
        <f t="shared" si="174"/>
        <v>0.84506165800286481</v>
      </c>
      <c r="CA83" s="6">
        <f t="shared" si="175"/>
        <v>84.506165800286482</v>
      </c>
      <c r="CD83" s="581">
        <f t="shared" si="159"/>
        <v>-50</v>
      </c>
      <c r="CE83">
        <f t="shared" si="160"/>
        <v>-50</v>
      </c>
    </row>
    <row r="84" spans="5:83" x14ac:dyDescent="0.2">
      <c r="E84" s="176">
        <v>79</v>
      </c>
      <c r="F84" s="223">
        <f t="shared" si="161"/>
        <v>0.79</v>
      </c>
      <c r="G84" s="223"/>
      <c r="H84" s="223">
        <f t="shared" si="113"/>
        <v>3.95</v>
      </c>
      <c r="I84" s="559">
        <f t="shared" si="114"/>
        <v>24</v>
      </c>
      <c r="J84" s="178">
        <f t="shared" si="115"/>
        <v>15.899999999999999</v>
      </c>
      <c r="K84" s="454">
        <f t="shared" si="116"/>
        <v>39.9</v>
      </c>
      <c r="L84" s="454"/>
      <c r="M84" s="223">
        <f t="shared" si="117"/>
        <v>0.39849624060150374</v>
      </c>
      <c r="N84" s="178">
        <f t="shared" si="118"/>
        <v>6.4556390977443598</v>
      </c>
      <c r="O84" s="178">
        <f t="shared" si="162"/>
        <v>3.95</v>
      </c>
      <c r="P84" s="223">
        <f t="shared" si="119"/>
        <v>1.291127819548872</v>
      </c>
      <c r="Q84" s="223">
        <f t="shared" si="120"/>
        <v>5</v>
      </c>
      <c r="R84" s="223">
        <f t="shared" si="121"/>
        <v>1.4345864661654135</v>
      </c>
      <c r="S84" s="178">
        <f t="shared" si="122"/>
        <v>12.691071382618768</v>
      </c>
      <c r="T84" s="178">
        <f t="shared" si="123"/>
        <v>5</v>
      </c>
      <c r="U84" s="223">
        <f t="shared" si="124"/>
        <v>0.91780223619846257</v>
      </c>
      <c r="V84" s="223">
        <f t="shared" si="125"/>
        <v>1.1472527952480784</v>
      </c>
      <c r="W84" s="223">
        <f t="shared" si="126"/>
        <v>1.7317023324499297</v>
      </c>
      <c r="X84" s="203">
        <f t="shared" si="127"/>
        <v>350</v>
      </c>
      <c r="Y84" s="454">
        <f t="shared" si="163"/>
        <v>347.34824116539556</v>
      </c>
      <c r="AA84" s="223">
        <f t="shared" si="128"/>
        <v>0.91084854994629427</v>
      </c>
      <c r="AB84" s="179">
        <f t="shared" si="129"/>
        <v>1.7185821697099894</v>
      </c>
      <c r="AC84" s="179">
        <f t="shared" si="130"/>
        <v>0.82181824055304764</v>
      </c>
      <c r="AD84" s="179"/>
      <c r="AE84" s="179">
        <f t="shared" si="131"/>
        <v>0.5660377358490567</v>
      </c>
      <c r="AF84" s="563">
        <f t="shared" si="176"/>
        <v>3101.4814814814808</v>
      </c>
      <c r="AG84" s="546">
        <f t="shared" si="132"/>
        <v>8.9150943396226423E-2</v>
      </c>
      <c r="AI84" s="179">
        <f t="shared" si="133"/>
        <v>0.9413488015276622</v>
      </c>
      <c r="AJ84" s="179">
        <f t="shared" si="134"/>
        <v>0.9413488015276622</v>
      </c>
      <c r="AK84" s="179">
        <f t="shared" si="135"/>
        <v>1.6750731863167869</v>
      </c>
      <c r="AM84" s="563">
        <f t="shared" si="136"/>
        <v>790</v>
      </c>
      <c r="AN84" s="472">
        <f t="shared" si="137"/>
        <v>347.34824116539556</v>
      </c>
      <c r="AP84">
        <f t="shared" si="138"/>
        <v>790</v>
      </c>
      <c r="AQ84">
        <f t="shared" si="139"/>
        <v>347.34824116539556</v>
      </c>
      <c r="AS84" s="6">
        <f t="shared" si="164"/>
        <v>2.8789551276980081</v>
      </c>
      <c r="AT84" s="6">
        <f t="shared" si="140"/>
        <v>1.1766860019095777</v>
      </c>
      <c r="AU84" s="6">
        <f t="shared" si="165"/>
        <v>1.7022691257884304</v>
      </c>
      <c r="AV84" s="6">
        <f t="shared" si="141"/>
        <v>1.7761298142031365</v>
      </c>
      <c r="AW84" s="179">
        <f t="shared" si="166"/>
        <v>0.40871981316723316</v>
      </c>
      <c r="AX84" s="179">
        <f t="shared" si="142"/>
        <v>4.6169748754270197</v>
      </c>
      <c r="AY84" s="179">
        <f t="shared" si="143"/>
        <v>0.8349013428631159</v>
      </c>
      <c r="AZ84" s="179">
        <f t="shared" si="167"/>
        <v>5.5299646058707852</v>
      </c>
      <c r="BA84" s="472">
        <f t="shared" si="144"/>
        <v>18.591638830171327</v>
      </c>
      <c r="BB84" s="6">
        <f t="shared" si="145"/>
        <v>0.25941215458581401</v>
      </c>
      <c r="BC84" s="6"/>
      <c r="BD84" s="179">
        <f t="shared" si="168"/>
        <v>0.34745838142728819</v>
      </c>
      <c r="BE84" s="179">
        <f t="shared" si="146"/>
        <v>1.2537411044534115</v>
      </c>
      <c r="BF84" s="179"/>
      <c r="BG84" s="546">
        <f t="shared" si="147"/>
        <v>4.2254564388424808E-2</v>
      </c>
      <c r="BH84" s="546">
        <f t="shared" si="148"/>
        <v>9.7847523272235601E-2</v>
      </c>
      <c r="BI84" s="546">
        <f t="shared" si="149"/>
        <v>4.3418530145674442E-3</v>
      </c>
      <c r="BJ84" s="546">
        <f t="shared" si="150"/>
        <v>2.7649093670886069E-2</v>
      </c>
      <c r="BK84">
        <f t="shared" si="151"/>
        <v>6.96E-3</v>
      </c>
      <c r="BL84" s="546">
        <f t="shared" si="152"/>
        <v>0.18750266579917815</v>
      </c>
      <c r="BM84" s="472">
        <f t="shared" si="169"/>
        <v>187.50266579917815</v>
      </c>
      <c r="BN84" s="546">
        <f t="shared" si="153"/>
        <v>0.30652000000000007</v>
      </c>
      <c r="BO84" s="546"/>
      <c r="BQ84" s="472">
        <f t="shared" si="170"/>
        <v>306.5200000000001</v>
      </c>
      <c r="BR84" s="546">
        <f t="shared" si="154"/>
        <v>2.414546536481418E-2</v>
      </c>
      <c r="BS84" s="546">
        <f t="shared" si="155"/>
        <v>6.2874670279842407E-2</v>
      </c>
      <c r="BT84" s="546">
        <f t="shared" si="156"/>
        <v>9.6662761859778568E-2</v>
      </c>
      <c r="BU84" s="546">
        <f t="shared" si="157"/>
        <v>0.19548621272160954</v>
      </c>
      <c r="BV84" s="546">
        <f t="shared" si="158"/>
        <v>3.0779832502846795E-2</v>
      </c>
      <c r="BW84" s="472">
        <f t="shared" si="171"/>
        <v>226.26604522445635</v>
      </c>
      <c r="BX84" s="179">
        <f t="shared" si="172"/>
        <v>0.72028871102363445</v>
      </c>
      <c r="BY84" s="6">
        <f t="shared" si="173"/>
        <v>3.95</v>
      </c>
      <c r="BZ84" s="179">
        <f t="shared" si="174"/>
        <v>0.84577212339710761</v>
      </c>
      <c r="CA84" s="6">
        <f t="shared" si="175"/>
        <v>84.577212339710755</v>
      </c>
      <c r="CD84" s="581">
        <f t="shared" si="159"/>
        <v>-50</v>
      </c>
      <c r="CE84">
        <f t="shared" si="160"/>
        <v>-50</v>
      </c>
    </row>
    <row r="85" spans="5:83" x14ac:dyDescent="0.2">
      <c r="E85" s="176">
        <v>80</v>
      </c>
      <c r="F85" s="223">
        <f t="shared" si="161"/>
        <v>0.8</v>
      </c>
      <c r="G85" s="223"/>
      <c r="H85" s="223">
        <f t="shared" si="113"/>
        <v>4</v>
      </c>
      <c r="I85" s="559">
        <f t="shared" si="114"/>
        <v>24</v>
      </c>
      <c r="J85" s="178">
        <f t="shared" si="115"/>
        <v>15.899999999999999</v>
      </c>
      <c r="K85" s="454">
        <f t="shared" si="116"/>
        <v>39.9</v>
      </c>
      <c r="L85" s="454"/>
      <c r="M85" s="223">
        <f t="shared" si="117"/>
        <v>0.39849624060150374</v>
      </c>
      <c r="N85" s="178">
        <f t="shared" si="118"/>
        <v>6.4556390977443598</v>
      </c>
      <c r="O85" s="178">
        <f t="shared" si="162"/>
        <v>4</v>
      </c>
      <c r="P85" s="223">
        <f t="shared" si="119"/>
        <v>1.291127819548872</v>
      </c>
      <c r="Q85" s="223">
        <f t="shared" si="120"/>
        <v>5</v>
      </c>
      <c r="R85" s="223">
        <f t="shared" si="121"/>
        <v>1.4345864661654135</v>
      </c>
      <c r="S85" s="178">
        <f t="shared" si="122"/>
        <v>12.438406609521017</v>
      </c>
      <c r="T85" s="178">
        <f t="shared" si="123"/>
        <v>5</v>
      </c>
      <c r="U85" s="223">
        <f t="shared" si="124"/>
        <v>0.92941998602375953</v>
      </c>
      <c r="V85" s="223">
        <f t="shared" si="125"/>
        <v>1.1617749825296995</v>
      </c>
      <c r="W85" s="223">
        <f t="shared" si="126"/>
        <v>1.7536226151391689</v>
      </c>
      <c r="X85" s="203">
        <f t="shared" si="127"/>
        <v>350</v>
      </c>
      <c r="Y85" s="454">
        <f t="shared" si="163"/>
        <v>343.00638815082817</v>
      </c>
      <c r="AA85" s="223">
        <f t="shared" si="128"/>
        <v>0.91084854994629427</v>
      </c>
      <c r="AB85" s="179">
        <f t="shared" si="129"/>
        <v>1.7185821697099894</v>
      </c>
      <c r="AC85" s="179">
        <f t="shared" si="130"/>
        <v>0.82181824055304764</v>
      </c>
      <c r="AD85" s="179"/>
      <c r="AE85" s="179">
        <f t="shared" si="131"/>
        <v>0.5660377358490567</v>
      </c>
      <c r="AF85" s="563">
        <f t="shared" si="176"/>
        <v>3140.7407407407404</v>
      </c>
      <c r="AG85" s="546">
        <f t="shared" si="132"/>
        <v>8.9150943396226423E-2</v>
      </c>
      <c r="AI85" s="179">
        <f t="shared" si="133"/>
        <v>0.94728796960295936</v>
      </c>
      <c r="AJ85" s="179">
        <f t="shared" si="134"/>
        <v>0.94728796960295936</v>
      </c>
      <c r="AK85" s="179">
        <f t="shared" si="135"/>
        <v>1.6794725700762663</v>
      </c>
      <c r="AM85" s="563">
        <f t="shared" si="136"/>
        <v>800</v>
      </c>
      <c r="AN85" s="472">
        <f t="shared" si="137"/>
        <v>343.00638815082817</v>
      </c>
      <c r="AP85">
        <f t="shared" si="138"/>
        <v>800</v>
      </c>
      <c r="AQ85">
        <f t="shared" si="139"/>
        <v>343.00638815082817</v>
      </c>
      <c r="AS85" s="6">
        <f t="shared" si="164"/>
        <v>2.9153975976688691</v>
      </c>
      <c r="AT85" s="6">
        <f t="shared" si="140"/>
        <v>1.1841099620036994</v>
      </c>
      <c r="AU85" s="6">
        <f t="shared" si="165"/>
        <v>1.7312876356651696</v>
      </c>
      <c r="AV85" s="6">
        <f t="shared" si="141"/>
        <v>1.7873357917036972</v>
      </c>
      <c r="AW85" s="179">
        <f t="shared" si="166"/>
        <v>0.40615728124030331</v>
      </c>
      <c r="AX85" s="179">
        <f t="shared" si="142"/>
        <v>4.6169748754270206</v>
      </c>
      <c r="AY85" s="179">
        <f t="shared" si="143"/>
        <v>0.8438100949760613</v>
      </c>
      <c r="AZ85" s="179">
        <f t="shared" si="167"/>
        <v>5.4715805166540505</v>
      </c>
      <c r="BA85" s="472">
        <f t="shared" si="144"/>
        <v>18.945759392059191</v>
      </c>
      <c r="BB85" s="6">
        <f t="shared" si="145"/>
        <v>0.26717401784956318</v>
      </c>
      <c r="BC85" s="6"/>
      <c r="BD85" s="179">
        <f t="shared" si="168"/>
        <v>0.34855275208317299</v>
      </c>
      <c r="BE85" s="179">
        <f t="shared" si="146"/>
        <v>1.2643821824119108</v>
      </c>
      <c r="BF85" s="179"/>
      <c r="BG85" s="546">
        <f t="shared" si="147"/>
        <v>4.2521157344663843E-2</v>
      </c>
      <c r="BH85" s="546">
        <f t="shared" si="148"/>
        <v>9.7234053128928591E-2</v>
      </c>
      <c r="BI85" s="546">
        <f t="shared" si="149"/>
        <v>4.2875798518853519E-3</v>
      </c>
      <c r="BJ85" s="546">
        <f t="shared" si="150"/>
        <v>2.7303479999999998E-2</v>
      </c>
      <c r="BK85">
        <f t="shared" si="151"/>
        <v>6.96E-3</v>
      </c>
      <c r="BL85" s="546">
        <f t="shared" si="152"/>
        <v>0.18679884244662312</v>
      </c>
      <c r="BM85" s="472">
        <f t="shared" si="169"/>
        <v>186.79884244662313</v>
      </c>
      <c r="BN85" s="546">
        <f t="shared" si="153"/>
        <v>0.31040000000000006</v>
      </c>
      <c r="BO85" s="546"/>
      <c r="BQ85" s="472">
        <f t="shared" si="170"/>
        <v>310.40000000000009</v>
      </c>
      <c r="BR85" s="546">
        <f t="shared" si="154"/>
        <v>2.4297804196950771E-2</v>
      </c>
      <c r="BS85" s="546">
        <f t="shared" si="155"/>
        <v>6.3946492128028262E-2</v>
      </c>
      <c r="BT85" s="546">
        <f t="shared" si="156"/>
        <v>9.5154773551822933E-2</v>
      </c>
      <c r="BU85" s="546">
        <f t="shared" si="157"/>
        <v>0.19536759148663496</v>
      </c>
      <c r="BV85" s="546">
        <f t="shared" si="158"/>
        <v>3.0779832502846802E-2</v>
      </c>
      <c r="BW85" s="472">
        <f t="shared" si="171"/>
        <v>226.14742398948175</v>
      </c>
      <c r="BX85" s="179">
        <f t="shared" si="172"/>
        <v>0.72334626643610489</v>
      </c>
      <c r="BY85" s="6">
        <f t="shared" si="173"/>
        <v>4</v>
      </c>
      <c r="BZ85" s="179">
        <f t="shared" si="174"/>
        <v>0.8468572436502968</v>
      </c>
      <c r="CA85" s="6">
        <f t="shared" si="175"/>
        <v>84.685724365029685</v>
      </c>
      <c r="CD85" s="581">
        <f t="shared" si="159"/>
        <v>-50</v>
      </c>
      <c r="CE85">
        <f t="shared" si="160"/>
        <v>-50</v>
      </c>
    </row>
    <row r="86" spans="5:83" x14ac:dyDescent="0.2">
      <c r="E86" s="176">
        <v>81</v>
      </c>
      <c r="F86" s="223">
        <f t="shared" si="161"/>
        <v>0.81</v>
      </c>
      <c r="G86" s="223"/>
      <c r="H86" s="223">
        <f t="shared" si="113"/>
        <v>4.0500000000000007</v>
      </c>
      <c r="I86" s="559">
        <f t="shared" si="114"/>
        <v>24</v>
      </c>
      <c r="J86" s="178">
        <f t="shared" si="115"/>
        <v>15.899999999999999</v>
      </c>
      <c r="K86" s="454">
        <f t="shared" si="116"/>
        <v>39.9</v>
      </c>
      <c r="L86" s="454"/>
      <c r="M86" s="223">
        <f t="shared" si="117"/>
        <v>0.39849624060150374</v>
      </c>
      <c r="N86" s="178">
        <f t="shared" si="118"/>
        <v>6.4556390977443598</v>
      </c>
      <c r="O86" s="178">
        <f t="shared" si="162"/>
        <v>4.0500000000000007</v>
      </c>
      <c r="P86" s="223">
        <f t="shared" si="119"/>
        <v>1.291127819548872</v>
      </c>
      <c r="Q86" s="223">
        <f t="shared" si="120"/>
        <v>5</v>
      </c>
      <c r="R86" s="223">
        <f t="shared" si="121"/>
        <v>1.4345864661654135</v>
      </c>
      <c r="S86" s="178">
        <f t="shared" si="122"/>
        <v>12.192121096289473</v>
      </c>
      <c r="T86" s="178">
        <f t="shared" si="123"/>
        <v>5</v>
      </c>
      <c r="U86" s="223">
        <f t="shared" si="124"/>
        <v>0.9410377358490567</v>
      </c>
      <c r="V86" s="223">
        <f t="shared" si="125"/>
        <v>1.1762971698113209</v>
      </c>
      <c r="W86" s="223">
        <f t="shared" si="126"/>
        <v>1.7755428978284091</v>
      </c>
      <c r="X86" s="203">
        <f t="shared" si="127"/>
        <v>350</v>
      </c>
      <c r="Y86" s="454">
        <f t="shared" si="163"/>
        <v>338.77174138353394</v>
      </c>
      <c r="AA86" s="223">
        <f t="shared" si="128"/>
        <v>0.91084854994629427</v>
      </c>
      <c r="AB86" s="179">
        <f t="shared" si="129"/>
        <v>1.7185821697099894</v>
      </c>
      <c r="AC86" s="179">
        <f t="shared" si="130"/>
        <v>0.82181824055304764</v>
      </c>
      <c r="AD86" s="179"/>
      <c r="AE86" s="179">
        <f t="shared" si="131"/>
        <v>0.5660377358490567</v>
      </c>
      <c r="AF86" s="563">
        <f t="shared" si="176"/>
        <v>3179.9999999999995</v>
      </c>
      <c r="AG86" s="546">
        <f t="shared" si="132"/>
        <v>8.9150943396226423E-2</v>
      </c>
      <c r="AI86" s="179">
        <f t="shared" si="133"/>
        <v>0.95319013243498718</v>
      </c>
      <c r="AJ86" s="179">
        <f t="shared" si="134"/>
        <v>0.95319013243498718</v>
      </c>
      <c r="AK86" s="179">
        <f t="shared" si="135"/>
        <v>1.6838445425444348</v>
      </c>
      <c r="AM86" s="563">
        <f t="shared" si="136"/>
        <v>810</v>
      </c>
      <c r="AN86" s="472">
        <f t="shared" si="137"/>
        <v>338.77174138353394</v>
      </c>
      <c r="AP86">
        <f t="shared" si="138"/>
        <v>810</v>
      </c>
      <c r="AQ86">
        <f t="shared" si="139"/>
        <v>338.77174138353394</v>
      </c>
      <c r="AS86" s="6">
        <f t="shared" si="164"/>
        <v>2.9518400676397301</v>
      </c>
      <c r="AT86" s="6">
        <f t="shared" si="140"/>
        <v>1.1914876655437339</v>
      </c>
      <c r="AU86" s="6">
        <f t="shared" si="165"/>
        <v>1.7603524020959962</v>
      </c>
      <c r="AV86" s="6">
        <f t="shared" si="141"/>
        <v>1.7984719479905422</v>
      </c>
      <c r="AW86" s="179">
        <f t="shared" si="166"/>
        <v>0.40364235129325243</v>
      </c>
      <c r="AX86" s="179">
        <f t="shared" si="142"/>
        <v>4.6169748754270197</v>
      </c>
      <c r="AY86" s="179">
        <f t="shared" si="143"/>
        <v>0.85266333922410342</v>
      </c>
      <c r="AZ86" s="179">
        <f t="shared" si="167"/>
        <v>5.4147688343541551</v>
      </c>
      <c r="BA86" s="472">
        <f t="shared" si="144"/>
        <v>19.302100181808491</v>
      </c>
      <c r="BB86" s="6">
        <f t="shared" si="145"/>
        <v>0.27505506282749936</v>
      </c>
      <c r="BC86" s="6"/>
      <c r="BD86" s="179">
        <f t="shared" si="168"/>
        <v>0.34963691059270841</v>
      </c>
      <c r="BE86" s="179">
        <f t="shared" si="146"/>
        <v>1.2749512000366769</v>
      </c>
      <c r="BF86" s="179"/>
      <c r="BG86" s="546">
        <f t="shared" si="147"/>
        <v>4.2786089237084747E-2</v>
      </c>
      <c r="BH86" s="546">
        <f t="shared" si="148"/>
        <v>9.663197889960462E-2</v>
      </c>
      <c r="BI86" s="546">
        <f t="shared" si="149"/>
        <v>4.2346467672941734E-3</v>
      </c>
      <c r="BJ86" s="546">
        <f t="shared" si="150"/>
        <v>2.6966399999999995E-2</v>
      </c>
      <c r="BK86">
        <f t="shared" si="151"/>
        <v>6.96E-3</v>
      </c>
      <c r="BL86" s="546">
        <f t="shared" si="152"/>
        <v>0.18611445444688959</v>
      </c>
      <c r="BM86" s="472">
        <f t="shared" si="169"/>
        <v>186.1144544468896</v>
      </c>
      <c r="BN86" s="546">
        <f t="shared" si="153"/>
        <v>0.31428000000000006</v>
      </c>
      <c r="BO86" s="546"/>
      <c r="BQ86" s="472">
        <f t="shared" si="170"/>
        <v>314.28000000000009</v>
      </c>
      <c r="BR86" s="546">
        <f t="shared" si="154"/>
        <v>2.4449193849762716E-2</v>
      </c>
      <c r="BS86" s="546">
        <f t="shared" si="155"/>
        <v>6.5020022498998506E-2</v>
      </c>
      <c r="BT86" s="546">
        <f t="shared" si="156"/>
        <v>9.3688608828378303E-2</v>
      </c>
      <c r="BU86" s="546">
        <f t="shared" si="157"/>
        <v>0.19529194048897305</v>
      </c>
      <c r="BV86" s="546">
        <f t="shared" si="158"/>
        <v>3.0779832502846795E-2</v>
      </c>
      <c r="BW86" s="472">
        <f t="shared" si="171"/>
        <v>226.07177299181984</v>
      </c>
      <c r="BX86" s="179">
        <f t="shared" si="172"/>
        <v>0.72646622743870948</v>
      </c>
      <c r="BY86" s="6">
        <f t="shared" si="173"/>
        <v>4.0500000000000007</v>
      </c>
      <c r="BZ86" s="179">
        <f t="shared" si="174"/>
        <v>0.84790717805864946</v>
      </c>
      <c r="CA86" s="6">
        <f t="shared" si="175"/>
        <v>84.790717805864944</v>
      </c>
      <c r="CD86" s="581">
        <f t="shared" si="159"/>
        <v>-50</v>
      </c>
      <c r="CE86">
        <f t="shared" si="160"/>
        <v>-50</v>
      </c>
    </row>
    <row r="87" spans="5:83" x14ac:dyDescent="0.2">
      <c r="E87" s="176">
        <v>82</v>
      </c>
      <c r="F87" s="223">
        <f t="shared" si="161"/>
        <v>0.82</v>
      </c>
      <c r="G87" s="223"/>
      <c r="H87" s="223">
        <f t="shared" si="113"/>
        <v>4.0999999999999996</v>
      </c>
      <c r="I87" s="559">
        <f t="shared" si="114"/>
        <v>24</v>
      </c>
      <c r="J87" s="178">
        <f t="shared" si="115"/>
        <v>15.899999999999999</v>
      </c>
      <c r="K87" s="454">
        <f t="shared" si="116"/>
        <v>39.9</v>
      </c>
      <c r="L87" s="454"/>
      <c r="M87" s="223">
        <f t="shared" si="117"/>
        <v>0.39849624060150374</v>
      </c>
      <c r="N87" s="178">
        <f t="shared" si="118"/>
        <v>6.4556390977443598</v>
      </c>
      <c r="O87" s="178">
        <f t="shared" si="162"/>
        <v>4.0999999999999996</v>
      </c>
      <c r="P87" s="223">
        <f t="shared" si="119"/>
        <v>1.291127819548872</v>
      </c>
      <c r="Q87" s="223">
        <f t="shared" si="120"/>
        <v>5</v>
      </c>
      <c r="R87" s="223">
        <f t="shared" si="121"/>
        <v>1.4345864661654135</v>
      </c>
      <c r="S87" s="178">
        <f t="shared" si="122"/>
        <v>11.951984199492451</v>
      </c>
      <c r="T87" s="178">
        <f t="shared" si="123"/>
        <v>5</v>
      </c>
      <c r="U87" s="223">
        <f t="shared" si="124"/>
        <v>0.95265548567435343</v>
      </c>
      <c r="V87" s="223">
        <f t="shared" si="125"/>
        <v>1.190819357092942</v>
      </c>
      <c r="W87" s="223">
        <f t="shared" si="126"/>
        <v>1.7974631805176482</v>
      </c>
      <c r="X87" s="203">
        <f t="shared" si="127"/>
        <v>350</v>
      </c>
      <c r="Y87" s="454">
        <f t="shared" si="163"/>
        <v>334.64037868373487</v>
      </c>
      <c r="AA87" s="223">
        <f t="shared" si="128"/>
        <v>0.91084854994629427</v>
      </c>
      <c r="AB87" s="179">
        <f t="shared" si="129"/>
        <v>1.7185821697099894</v>
      </c>
      <c r="AC87" s="179">
        <f t="shared" si="130"/>
        <v>0.82181824055304764</v>
      </c>
      <c r="AD87" s="179"/>
      <c r="AE87" s="179">
        <f t="shared" si="131"/>
        <v>0.5660377358490567</v>
      </c>
      <c r="AF87" s="563">
        <f t="shared" si="176"/>
        <v>3219.2592592592582</v>
      </c>
      <c r="AG87" s="546">
        <f t="shared" si="132"/>
        <v>8.9150943396226423E-2</v>
      </c>
      <c r="AI87" s="179">
        <f t="shared" si="133"/>
        <v>0.95905597323011316</v>
      </c>
      <c r="AJ87" s="179">
        <f t="shared" si="134"/>
        <v>0.95905597323011316</v>
      </c>
      <c r="AK87" s="179">
        <f t="shared" si="135"/>
        <v>1.6881896098000837</v>
      </c>
      <c r="AM87" s="563">
        <f t="shared" si="136"/>
        <v>820</v>
      </c>
      <c r="AN87" s="472">
        <f t="shared" si="137"/>
        <v>334.64037868373487</v>
      </c>
      <c r="AP87">
        <f t="shared" si="138"/>
        <v>820</v>
      </c>
      <c r="AQ87">
        <f t="shared" si="139"/>
        <v>334.64037868373487</v>
      </c>
      <c r="AS87" s="6">
        <f t="shared" si="164"/>
        <v>2.9882825376105897</v>
      </c>
      <c r="AT87" s="6">
        <f t="shared" si="140"/>
        <v>1.1988199665376416</v>
      </c>
      <c r="AU87" s="6">
        <f t="shared" si="165"/>
        <v>1.7894625710729481</v>
      </c>
      <c r="AV87" s="6">
        <f t="shared" si="141"/>
        <v>1.8095395721322893</v>
      </c>
      <c r="AW87" s="179">
        <f t="shared" si="166"/>
        <v>0.40117356757577877</v>
      </c>
      <c r="AX87" s="179">
        <f t="shared" si="142"/>
        <v>4.6169748754270206</v>
      </c>
      <c r="AY87" s="179">
        <f t="shared" si="143"/>
        <v>0.86146210041679205</v>
      </c>
      <c r="AZ87" s="179">
        <f t="shared" si="167"/>
        <v>5.3594637224240493</v>
      </c>
      <c r="BA87" s="472">
        <f t="shared" si="144"/>
        <v>19.660647451217319</v>
      </c>
      <c r="BB87" s="6">
        <f t="shared" si="145"/>
        <v>0.28305542212187829</v>
      </c>
      <c r="BC87" s="6"/>
      <c r="BD87" s="179">
        <f t="shared" si="168"/>
        <v>0.35071107658155032</v>
      </c>
      <c r="BE87" s="179">
        <f t="shared" si="146"/>
        <v>1.2854496280415533</v>
      </c>
      <c r="BF87" s="179"/>
      <c r="BG87" s="546">
        <f t="shared" si="147"/>
        <v>4.3049390732946516E-2</v>
      </c>
      <c r="BH87" s="546">
        <f t="shared" si="148"/>
        <v>9.604095207764142E-2</v>
      </c>
      <c r="BI87" s="546">
        <f t="shared" si="149"/>
        <v>4.1830047335466858E-3</v>
      </c>
      <c r="BJ87" s="546">
        <f t="shared" si="150"/>
        <v>2.6637541463414637E-2</v>
      </c>
      <c r="BK87">
        <f t="shared" si="151"/>
        <v>6.96E-3</v>
      </c>
      <c r="BL87" s="546">
        <f t="shared" si="152"/>
        <v>0.18544882527935141</v>
      </c>
      <c r="BM87" s="472">
        <f t="shared" si="169"/>
        <v>185.44882527935141</v>
      </c>
      <c r="BN87" s="546">
        <f t="shared" si="153"/>
        <v>0.31816</v>
      </c>
      <c r="BO87" s="546"/>
      <c r="BQ87" s="472">
        <f t="shared" si="170"/>
        <v>318.16000000000003</v>
      </c>
      <c r="BR87" s="546">
        <f t="shared" si="154"/>
        <v>2.4599651847398013E-2</v>
      </c>
      <c r="BS87" s="546">
        <f t="shared" si="155"/>
        <v>6.6095229849286702E-2</v>
      </c>
      <c r="BT87" s="546">
        <f t="shared" si="156"/>
        <v>9.226261259259258E-2</v>
      </c>
      <c r="BU87" s="546">
        <f t="shared" si="157"/>
        <v>0.19525758920917596</v>
      </c>
      <c r="BV87" s="546">
        <f t="shared" si="158"/>
        <v>3.0779832502846802E-2</v>
      </c>
      <c r="BW87" s="472">
        <f t="shared" si="171"/>
        <v>226.03742171202276</v>
      </c>
      <c r="BX87" s="179">
        <f t="shared" si="172"/>
        <v>0.72964624699137404</v>
      </c>
      <c r="BY87" s="6">
        <f t="shared" si="173"/>
        <v>4.0999999999999996</v>
      </c>
      <c r="BZ87" s="179">
        <f t="shared" si="174"/>
        <v>0.84892345946746994</v>
      </c>
      <c r="CA87" s="6">
        <f t="shared" si="175"/>
        <v>84.892345946747</v>
      </c>
      <c r="CD87" s="581">
        <f t="shared" si="159"/>
        <v>-50</v>
      </c>
      <c r="CE87">
        <f t="shared" si="160"/>
        <v>-50</v>
      </c>
    </row>
    <row r="88" spans="5:83" x14ac:dyDescent="0.2">
      <c r="E88" s="176">
        <v>83</v>
      </c>
      <c r="F88" s="223">
        <f t="shared" si="161"/>
        <v>0.83</v>
      </c>
      <c r="G88" s="223"/>
      <c r="H88" s="223">
        <f t="shared" si="113"/>
        <v>4.1499999999999995</v>
      </c>
      <c r="I88" s="559">
        <f t="shared" si="114"/>
        <v>24</v>
      </c>
      <c r="J88" s="178">
        <f t="shared" si="115"/>
        <v>15.899999999999999</v>
      </c>
      <c r="K88" s="454">
        <f t="shared" si="116"/>
        <v>39.9</v>
      </c>
      <c r="L88" s="454"/>
      <c r="M88" s="223">
        <f t="shared" si="117"/>
        <v>0.39849624060150374</v>
      </c>
      <c r="N88" s="178">
        <f t="shared" si="118"/>
        <v>6.4556390977443598</v>
      </c>
      <c r="O88" s="178">
        <f t="shared" si="162"/>
        <v>4.1499999999999995</v>
      </c>
      <c r="P88" s="223">
        <f t="shared" si="119"/>
        <v>1.291127819548872</v>
      </c>
      <c r="Q88" s="223">
        <f t="shared" si="120"/>
        <v>5</v>
      </c>
      <c r="R88" s="223">
        <f t="shared" si="121"/>
        <v>1.4345864661654135</v>
      </c>
      <c r="S88" s="178">
        <f t="shared" si="122"/>
        <v>11.717776453179829</v>
      </c>
      <c r="T88" s="178">
        <f t="shared" si="123"/>
        <v>5</v>
      </c>
      <c r="U88" s="223">
        <f t="shared" si="124"/>
        <v>0.96427323549965038</v>
      </c>
      <c r="V88" s="223">
        <f t="shared" si="125"/>
        <v>1.205341544374563</v>
      </c>
      <c r="W88" s="223">
        <f t="shared" si="126"/>
        <v>1.8193834632068877</v>
      </c>
      <c r="X88" s="203">
        <f t="shared" si="127"/>
        <v>350</v>
      </c>
      <c r="Y88" s="454">
        <f t="shared" si="163"/>
        <v>330.60856689236454</v>
      </c>
      <c r="AA88" s="223">
        <f t="shared" si="128"/>
        <v>0.91084854994629427</v>
      </c>
      <c r="AB88" s="179">
        <f t="shared" si="129"/>
        <v>1.7185821697099894</v>
      </c>
      <c r="AC88" s="179">
        <f t="shared" si="130"/>
        <v>0.82181824055304764</v>
      </c>
      <c r="AD88" s="179"/>
      <c r="AE88" s="179">
        <f t="shared" si="131"/>
        <v>0.5660377358490567</v>
      </c>
      <c r="AF88" s="563">
        <f t="shared" si="176"/>
        <v>3258.5185185185178</v>
      </c>
      <c r="AG88" s="546">
        <f t="shared" si="132"/>
        <v>8.9150943396226423E-2</v>
      </c>
      <c r="AI88" s="179">
        <f t="shared" si="133"/>
        <v>0.96488615442718983</v>
      </c>
      <c r="AJ88" s="179">
        <f t="shared" si="134"/>
        <v>0.96427323549965038</v>
      </c>
      <c r="AK88" s="179">
        <f t="shared" si="135"/>
        <v>1.6920542485182595</v>
      </c>
      <c r="AM88" s="563">
        <f t="shared" si="136"/>
        <v>830</v>
      </c>
      <c r="AN88" s="472">
        <f t="shared" si="137"/>
        <v>330.60856689236454</v>
      </c>
      <c r="AP88">
        <f t="shared" si="138"/>
        <v>830</v>
      </c>
      <c r="AQ88">
        <f t="shared" si="139"/>
        <v>330.60856689236454</v>
      </c>
      <c r="AS88" s="6">
        <f t="shared" si="164"/>
        <v>3.0247250075814507</v>
      </c>
      <c r="AT88" s="6">
        <f t="shared" si="140"/>
        <v>1.205341544374563</v>
      </c>
      <c r="AU88" s="6">
        <f t="shared" si="165"/>
        <v>1.8193834632068877</v>
      </c>
      <c r="AV88" s="6">
        <f t="shared" si="141"/>
        <v>1.8193834632068877</v>
      </c>
      <c r="AW88" s="179">
        <f t="shared" si="166"/>
        <v>0.39849624060150374</v>
      </c>
      <c r="AX88" s="179">
        <f t="shared" si="142"/>
        <v>4.6111111111111089</v>
      </c>
      <c r="AY88" s="179">
        <f t="shared" si="143"/>
        <v>0.87002096436058673</v>
      </c>
      <c r="AZ88" s="179">
        <f t="shared" si="167"/>
        <v>5.2999999999999989</v>
      </c>
      <c r="BA88" s="472">
        <f t="shared" si="144"/>
        <v>20.008669636617746</v>
      </c>
      <c r="BB88" s="6">
        <f t="shared" si="145"/>
        <v>0.29129789245017679</v>
      </c>
      <c r="BC88" s="6"/>
      <c r="BD88" s="179">
        <f t="shared" si="168"/>
        <v>0.35144033120698448</v>
      </c>
      <c r="BE88" s="179">
        <f t="shared" si="146"/>
        <v>1.295328475913742</v>
      </c>
      <c r="BF88" s="179"/>
      <c r="BG88" s="546">
        <f t="shared" si="147"/>
        <v>4.3228607239606226E-2</v>
      </c>
      <c r="BH88" s="546">
        <f t="shared" si="148"/>
        <v>9.5399999999999957E-2</v>
      </c>
      <c r="BI88" s="546">
        <f t="shared" si="149"/>
        <v>4.1326070861545565E-3</v>
      </c>
      <c r="BJ88" s="546">
        <f t="shared" si="150"/>
        <v>2.6316607228915663E-2</v>
      </c>
      <c r="BK88">
        <f t="shared" si="151"/>
        <v>6.96E-3</v>
      </c>
      <c r="BL88" s="546">
        <f t="shared" si="152"/>
        <v>0.18463934315240177</v>
      </c>
      <c r="BM88" s="472">
        <f t="shared" si="169"/>
        <v>184.63934315240178</v>
      </c>
      <c r="BN88" s="546">
        <f t="shared" si="153"/>
        <v>0.32203999999999999</v>
      </c>
      <c r="BO88" s="546"/>
      <c r="BQ88" s="472">
        <f t="shared" si="170"/>
        <v>322.04000000000002</v>
      </c>
      <c r="BR88" s="546">
        <f t="shared" si="154"/>
        <v>2.4702061279774992E-2</v>
      </c>
      <c r="BS88" s="546">
        <f t="shared" si="155"/>
        <v>6.7115034420520706E-2</v>
      </c>
      <c r="BT88" s="546">
        <f t="shared" si="156"/>
        <v>9.073096780193611E-2</v>
      </c>
      <c r="BU88" s="546">
        <f t="shared" si="157"/>
        <v>0.19499845029604662</v>
      </c>
      <c r="BV88" s="546">
        <f t="shared" si="158"/>
        <v>3.0740740740740732E-2</v>
      </c>
      <c r="BW88" s="472">
        <f t="shared" si="171"/>
        <v>225.73919103678736</v>
      </c>
      <c r="BX88" s="179">
        <f t="shared" si="172"/>
        <v>0.73241853418918912</v>
      </c>
      <c r="BY88" s="6">
        <f t="shared" si="173"/>
        <v>4.1499999999999995</v>
      </c>
      <c r="BZ88" s="179">
        <f t="shared" si="174"/>
        <v>0.84998858064698468</v>
      </c>
      <c r="CA88" s="6">
        <f t="shared" si="175"/>
        <v>84.998858064698467</v>
      </c>
      <c r="CD88" s="581">
        <f t="shared" si="159"/>
        <v>-50</v>
      </c>
      <c r="CE88">
        <f t="shared" si="160"/>
        <v>-50</v>
      </c>
    </row>
    <row r="89" spans="5:83" x14ac:dyDescent="0.2">
      <c r="E89" s="176">
        <v>84</v>
      </c>
      <c r="F89" s="223">
        <f t="shared" si="161"/>
        <v>0.84</v>
      </c>
      <c r="G89" s="223"/>
      <c r="H89" s="223">
        <f t="shared" si="113"/>
        <v>4.2</v>
      </c>
      <c r="I89" s="559">
        <f t="shared" si="114"/>
        <v>24</v>
      </c>
      <c r="J89" s="178">
        <f t="shared" si="115"/>
        <v>15.899999999999999</v>
      </c>
      <c r="K89" s="454">
        <f t="shared" si="116"/>
        <v>39.9</v>
      </c>
      <c r="L89" s="454"/>
      <c r="M89" s="223">
        <f t="shared" si="117"/>
        <v>0.39849624060150374</v>
      </c>
      <c r="N89" s="178">
        <f t="shared" si="118"/>
        <v>6.4556390977443598</v>
      </c>
      <c r="O89" s="178">
        <f t="shared" si="162"/>
        <v>4.2</v>
      </c>
      <c r="P89" s="223">
        <f t="shared" si="119"/>
        <v>1.291127819548872</v>
      </c>
      <c r="Q89" s="223">
        <f t="shared" si="120"/>
        <v>5</v>
      </c>
      <c r="R89" s="223">
        <f t="shared" si="121"/>
        <v>1.4345864661654135</v>
      </c>
      <c r="S89" s="178">
        <f t="shared" si="122"/>
        <v>11.489288904959587</v>
      </c>
      <c r="T89" s="178">
        <f t="shared" si="123"/>
        <v>5</v>
      </c>
      <c r="U89" s="223">
        <f t="shared" si="124"/>
        <v>0.97589098532494756</v>
      </c>
      <c r="V89" s="223">
        <f t="shared" si="125"/>
        <v>1.2198637316561847</v>
      </c>
      <c r="W89" s="223">
        <f t="shared" si="126"/>
        <v>1.8413037458961279</v>
      </c>
      <c r="X89" s="203">
        <f t="shared" si="127"/>
        <v>350</v>
      </c>
      <c r="Y89" s="454">
        <f t="shared" si="163"/>
        <v>326.67275061983628</v>
      </c>
      <c r="AA89" s="223">
        <f t="shared" si="128"/>
        <v>0.91084854994629427</v>
      </c>
      <c r="AB89" s="179">
        <f t="shared" si="129"/>
        <v>1.7185821697099894</v>
      </c>
      <c r="AC89" s="179">
        <f t="shared" si="130"/>
        <v>0.82181824055304764</v>
      </c>
      <c r="AD89" s="179"/>
      <c r="AE89" s="179">
        <f t="shared" si="131"/>
        <v>0.5660377358490567</v>
      </c>
      <c r="AF89" s="563">
        <f t="shared" si="176"/>
        <v>3297.7777777777769</v>
      </c>
      <c r="AG89" s="546">
        <f t="shared" si="132"/>
        <v>8.9150943396226423E-2</v>
      </c>
      <c r="AI89" s="179">
        <f t="shared" si="133"/>
        <v>0.9706813185707357</v>
      </c>
      <c r="AJ89" s="179">
        <f t="shared" si="134"/>
        <v>0.97589098532494756</v>
      </c>
      <c r="AK89" s="179">
        <f t="shared" si="135"/>
        <v>1.7006599891295906</v>
      </c>
      <c r="AM89" s="563">
        <f t="shared" si="136"/>
        <v>840</v>
      </c>
      <c r="AN89" s="472">
        <f t="shared" si="137"/>
        <v>326.67275061983628</v>
      </c>
      <c r="AP89">
        <f t="shared" si="138"/>
        <v>840</v>
      </c>
      <c r="AQ89">
        <f t="shared" si="139"/>
        <v>326.67275061983628</v>
      </c>
      <c r="AS89" s="6">
        <f t="shared" si="164"/>
        <v>3.061167477552313</v>
      </c>
      <c r="AT89" s="6">
        <f t="shared" si="140"/>
        <v>1.2198637316561847</v>
      </c>
      <c r="AU89" s="6">
        <f t="shared" si="165"/>
        <v>1.8413037458961283</v>
      </c>
      <c r="AV89" s="6">
        <f t="shared" si="141"/>
        <v>1.8413037458961279</v>
      </c>
      <c r="AW89" s="179">
        <f t="shared" si="166"/>
        <v>0.39849624060150368</v>
      </c>
      <c r="AX89" s="179">
        <f t="shared" si="142"/>
        <v>4.6666666666666652</v>
      </c>
      <c r="AY89" s="179">
        <f t="shared" si="143"/>
        <v>0.88050314465408819</v>
      </c>
      <c r="AZ89" s="179">
        <f t="shared" si="167"/>
        <v>5.2999999999999972</v>
      </c>
      <c r="BA89" s="472">
        <f t="shared" si="144"/>
        <v>20.493710691823903</v>
      </c>
      <c r="BB89" s="6">
        <f t="shared" si="145"/>
        <v>0.29835940327020594</v>
      </c>
      <c r="BC89" s="6"/>
      <c r="BD89" s="179">
        <f t="shared" si="168"/>
        <v>0.35567455206489995</v>
      </c>
      <c r="BE89" s="179">
        <f t="shared" si="146"/>
        <v>1.3109348430934262</v>
      </c>
      <c r="BF89" s="179"/>
      <c r="BG89" s="546">
        <f t="shared" si="147"/>
        <v>4.4276535445298519E-2</v>
      </c>
      <c r="BH89" s="546">
        <f t="shared" si="148"/>
        <v>9.5399999999999957E-2</v>
      </c>
      <c r="BI89" s="546">
        <f t="shared" si="149"/>
        <v>4.0834093827479528E-3</v>
      </c>
      <c r="BJ89" s="546">
        <f t="shared" si="150"/>
        <v>2.6003314285714275E-2</v>
      </c>
      <c r="BK89">
        <f t="shared" si="151"/>
        <v>6.96E-3</v>
      </c>
      <c r="BL89" s="546">
        <f t="shared" si="152"/>
        <v>0.18554722341513685</v>
      </c>
      <c r="BM89" s="472">
        <f t="shared" si="169"/>
        <v>185.54722341513684</v>
      </c>
      <c r="BN89" s="546">
        <f t="shared" si="153"/>
        <v>0.32591999999999999</v>
      </c>
      <c r="BO89" s="546"/>
      <c r="BQ89" s="472">
        <f t="shared" si="170"/>
        <v>325.91999999999996</v>
      </c>
      <c r="BR89" s="546">
        <f t="shared" si="154"/>
        <v>2.5300877397313445E-2</v>
      </c>
      <c r="BS89" s="546">
        <f t="shared" si="155"/>
        <v>6.8742006513455439E-2</v>
      </c>
      <c r="BT89" s="546">
        <f t="shared" si="156"/>
        <v>9.0730967801936194E-2</v>
      </c>
      <c r="BU89" s="546">
        <f t="shared" si="157"/>
        <v>0.19754521552364682</v>
      </c>
      <c r="BV89" s="546">
        <f t="shared" si="158"/>
        <v>3.1111111111111103E-2</v>
      </c>
      <c r="BW89" s="472">
        <f t="shared" si="171"/>
        <v>228.65632663475793</v>
      </c>
      <c r="BX89" s="179">
        <f t="shared" si="172"/>
        <v>0.74012355004989472</v>
      </c>
      <c r="BY89" s="6">
        <f t="shared" si="173"/>
        <v>4.2</v>
      </c>
      <c r="BZ89" s="179">
        <f t="shared" si="174"/>
        <v>0.8501811660069879</v>
      </c>
      <c r="CA89" s="6">
        <f t="shared" si="175"/>
        <v>85.018116600698789</v>
      </c>
      <c r="CD89" s="581">
        <f t="shared" si="159"/>
        <v>-50</v>
      </c>
      <c r="CE89">
        <f t="shared" si="160"/>
        <v>-50</v>
      </c>
    </row>
    <row r="90" spans="5:83" x14ac:dyDescent="0.2">
      <c r="E90" s="176">
        <v>85</v>
      </c>
      <c r="F90" s="223">
        <f t="shared" si="161"/>
        <v>0.85</v>
      </c>
      <c r="G90" s="223"/>
      <c r="H90" s="223">
        <f t="shared" si="113"/>
        <v>4.25</v>
      </c>
      <c r="I90" s="559">
        <f t="shared" si="114"/>
        <v>24</v>
      </c>
      <c r="J90" s="178">
        <f t="shared" si="115"/>
        <v>15.899999999999999</v>
      </c>
      <c r="K90" s="454">
        <f t="shared" si="116"/>
        <v>39.9</v>
      </c>
      <c r="L90" s="454"/>
      <c r="M90" s="223">
        <f t="shared" si="117"/>
        <v>0.39849624060150374</v>
      </c>
      <c r="N90" s="178">
        <f t="shared" si="118"/>
        <v>6.4556390977443598</v>
      </c>
      <c r="O90" s="178">
        <f t="shared" si="162"/>
        <v>4.25</v>
      </c>
      <c r="P90" s="223">
        <f t="shared" si="119"/>
        <v>1.291127819548872</v>
      </c>
      <c r="Q90" s="223">
        <f t="shared" si="120"/>
        <v>5</v>
      </c>
      <c r="R90" s="223">
        <f t="shared" si="121"/>
        <v>1.4345864661654135</v>
      </c>
      <c r="S90" s="178">
        <f t="shared" si="122"/>
        <v>11.266322498960276</v>
      </c>
      <c r="T90" s="178">
        <f t="shared" si="123"/>
        <v>5</v>
      </c>
      <c r="U90" s="223">
        <f t="shared" si="124"/>
        <v>0.98750873515024451</v>
      </c>
      <c r="V90" s="223">
        <f t="shared" si="125"/>
        <v>1.2343859189378059</v>
      </c>
      <c r="W90" s="223">
        <f t="shared" si="126"/>
        <v>1.8632240285853672</v>
      </c>
      <c r="X90" s="203">
        <f t="shared" si="127"/>
        <v>350</v>
      </c>
      <c r="Y90" s="454">
        <f t="shared" si="163"/>
        <v>322.82954178901474</v>
      </c>
      <c r="AA90" s="223">
        <f t="shared" si="128"/>
        <v>0.91084854994629427</v>
      </c>
      <c r="AB90" s="179">
        <f t="shared" si="129"/>
        <v>1.7185821697099894</v>
      </c>
      <c r="AC90" s="179">
        <f t="shared" si="130"/>
        <v>0.82181824055304764</v>
      </c>
      <c r="AD90" s="179"/>
      <c r="AE90" s="179">
        <f t="shared" si="131"/>
        <v>0.5660377358490567</v>
      </c>
      <c r="AF90" s="563">
        <f t="shared" si="176"/>
        <v>3337.0370370370365</v>
      </c>
      <c r="AG90" s="546">
        <f t="shared" si="132"/>
        <v>8.9150943396226423E-2</v>
      </c>
      <c r="AI90" s="179">
        <f t="shared" si="133"/>
        <v>0.97644208913747332</v>
      </c>
      <c r="AJ90" s="179">
        <f t="shared" si="134"/>
        <v>0.98750873515024451</v>
      </c>
      <c r="AK90" s="179">
        <f t="shared" si="135"/>
        <v>1.7092657297409217</v>
      </c>
      <c r="AM90" s="563">
        <f t="shared" si="136"/>
        <v>850</v>
      </c>
      <c r="AN90" s="472">
        <f t="shared" si="137"/>
        <v>322.82954178901474</v>
      </c>
      <c r="AP90">
        <f t="shared" si="138"/>
        <v>850</v>
      </c>
      <c r="AQ90">
        <f t="shared" si="139"/>
        <v>322.82954178901474</v>
      </c>
      <c r="AS90" s="6">
        <f t="shared" si="164"/>
        <v>3.0976099475231731</v>
      </c>
      <c r="AT90" s="6">
        <f t="shared" si="140"/>
        <v>1.2343859189378059</v>
      </c>
      <c r="AU90" s="6">
        <f t="shared" si="165"/>
        <v>1.8632240285853672</v>
      </c>
      <c r="AV90" s="6">
        <f t="shared" si="141"/>
        <v>1.8632240285853672</v>
      </c>
      <c r="AW90" s="179">
        <f t="shared" si="166"/>
        <v>0.39849624060150379</v>
      </c>
      <c r="AX90" s="179">
        <f t="shared" si="142"/>
        <v>4.7222222222222214</v>
      </c>
      <c r="AY90" s="179">
        <f t="shared" si="143"/>
        <v>0.89098532494758886</v>
      </c>
      <c r="AZ90" s="179">
        <f t="shared" si="167"/>
        <v>5.3000000000000007</v>
      </c>
      <c r="BA90" s="472">
        <f t="shared" si="144"/>
        <v>20.984560621942698</v>
      </c>
      <c r="BB90" s="6">
        <f t="shared" si="145"/>
        <v>0.30550548308209147</v>
      </c>
      <c r="BC90" s="6"/>
      <c r="BD90" s="179">
        <f t="shared" si="168"/>
        <v>0.35990877292281553</v>
      </c>
      <c r="BE90" s="179">
        <f t="shared" si="146"/>
        <v>1.3265412102731096</v>
      </c>
      <c r="BF90" s="179"/>
      <c r="BG90" s="546">
        <f t="shared" si="147"/>
        <v>4.5337013689382373E-2</v>
      </c>
      <c r="BH90" s="546">
        <f t="shared" si="148"/>
        <v>9.5399999999999957E-2</v>
      </c>
      <c r="BI90" s="546">
        <f t="shared" si="149"/>
        <v>4.0353692723626841E-3</v>
      </c>
      <c r="BJ90" s="546">
        <f t="shared" si="150"/>
        <v>2.569739294117647E-2</v>
      </c>
      <c r="BK90">
        <f t="shared" si="151"/>
        <v>6.96E-3</v>
      </c>
      <c r="BL90" s="546">
        <f t="shared" si="152"/>
        <v>0.18647973422321118</v>
      </c>
      <c r="BM90" s="472">
        <f t="shared" si="169"/>
        <v>186.47973422321118</v>
      </c>
      <c r="BN90" s="546">
        <f t="shared" si="153"/>
        <v>0.32980000000000004</v>
      </c>
      <c r="BO90" s="546"/>
      <c r="BQ90" s="472">
        <f t="shared" si="170"/>
        <v>329.8</v>
      </c>
      <c r="BR90" s="546">
        <f t="shared" si="154"/>
        <v>2.5906864965361362E-2</v>
      </c>
      <c r="BS90" s="546">
        <f t="shared" si="155"/>
        <v>7.0388463302113846E-2</v>
      </c>
      <c r="BT90" s="546">
        <f t="shared" si="156"/>
        <v>9.0730967801936166E-2</v>
      </c>
      <c r="BU90" s="546">
        <f t="shared" si="157"/>
        <v>0.20012341142931586</v>
      </c>
      <c r="BV90" s="546">
        <f t="shared" si="158"/>
        <v>3.1481481481481471E-2</v>
      </c>
      <c r="BW90" s="472">
        <f t="shared" si="171"/>
        <v>231.60489291079733</v>
      </c>
      <c r="BX90" s="179">
        <f t="shared" si="172"/>
        <v>0.74788462713400861</v>
      </c>
      <c r="BY90" s="6">
        <f t="shared" si="173"/>
        <v>4.25</v>
      </c>
      <c r="BZ90" s="179">
        <f t="shared" si="174"/>
        <v>0.85035976559489401</v>
      </c>
      <c r="CA90" s="6">
        <f t="shared" si="175"/>
        <v>85.035976559489399</v>
      </c>
      <c r="CD90" s="581">
        <f t="shared" si="159"/>
        <v>-50</v>
      </c>
      <c r="CE90">
        <f t="shared" si="160"/>
        <v>-50</v>
      </c>
    </row>
    <row r="91" spans="5:83" x14ac:dyDescent="0.2">
      <c r="E91" s="176">
        <v>86</v>
      </c>
      <c r="F91" s="223">
        <f t="shared" si="161"/>
        <v>0.86</v>
      </c>
      <c r="G91" s="223"/>
      <c r="H91" s="223">
        <f t="shared" si="113"/>
        <v>4.3</v>
      </c>
      <c r="I91" s="559">
        <f t="shared" si="114"/>
        <v>24</v>
      </c>
      <c r="J91" s="178">
        <f t="shared" si="115"/>
        <v>15.899999999999999</v>
      </c>
      <c r="K91" s="454">
        <f t="shared" si="116"/>
        <v>39.9</v>
      </c>
      <c r="L91" s="454"/>
      <c r="M91" s="223">
        <f t="shared" si="117"/>
        <v>0.39849624060150374</v>
      </c>
      <c r="N91" s="178">
        <f t="shared" si="118"/>
        <v>6.4556390977443598</v>
      </c>
      <c r="O91" s="178">
        <f t="shared" si="162"/>
        <v>4.3</v>
      </c>
      <c r="P91" s="223">
        <f t="shared" si="119"/>
        <v>1.291127819548872</v>
      </c>
      <c r="Q91" s="223">
        <f t="shared" si="120"/>
        <v>5</v>
      </c>
      <c r="R91" s="223">
        <f t="shared" si="121"/>
        <v>1.4345864661654135</v>
      </c>
      <c r="S91" s="178">
        <f t="shared" si="122"/>
        <v>11.048687501862414</v>
      </c>
      <c r="T91" s="178">
        <f t="shared" si="123"/>
        <v>5</v>
      </c>
      <c r="U91" s="223">
        <f t="shared" si="124"/>
        <v>0.99912648497554146</v>
      </c>
      <c r="V91" s="223">
        <f t="shared" si="125"/>
        <v>1.2489081062194269</v>
      </c>
      <c r="W91" s="223">
        <f t="shared" si="126"/>
        <v>1.8851443112746067</v>
      </c>
      <c r="X91" s="203">
        <f t="shared" si="127"/>
        <v>350</v>
      </c>
      <c r="Y91" s="454">
        <f t="shared" si="163"/>
        <v>319.07570990774718</v>
      </c>
      <c r="AA91" s="223">
        <f t="shared" si="128"/>
        <v>0.91084854994629427</v>
      </c>
      <c r="AB91" s="179">
        <f t="shared" si="129"/>
        <v>1.7185821697099894</v>
      </c>
      <c r="AC91" s="179">
        <f t="shared" si="130"/>
        <v>0.82181824055304764</v>
      </c>
      <c r="AD91" s="179"/>
      <c r="AE91" s="179">
        <f t="shared" si="131"/>
        <v>0.5660377358490567</v>
      </c>
      <c r="AF91" s="563">
        <f t="shared" si="176"/>
        <v>3376.2962962962956</v>
      </c>
      <c r="AG91" s="546">
        <f t="shared" si="132"/>
        <v>8.9150943396226423E-2</v>
      </c>
      <c r="AI91" s="179">
        <f t="shared" si="133"/>
        <v>0.98216907131923292</v>
      </c>
      <c r="AJ91" s="179">
        <f t="shared" si="134"/>
        <v>0.99912648497554146</v>
      </c>
      <c r="AK91" s="179">
        <f t="shared" si="135"/>
        <v>1.7178714703522528</v>
      </c>
      <c r="AM91" s="563">
        <f t="shared" si="136"/>
        <v>860</v>
      </c>
      <c r="AN91" s="472">
        <f t="shared" si="137"/>
        <v>319.07570990774718</v>
      </c>
      <c r="AP91">
        <f t="shared" si="138"/>
        <v>860</v>
      </c>
      <c r="AQ91">
        <f t="shared" si="139"/>
        <v>319.07570990774718</v>
      </c>
      <c r="AS91" s="6">
        <f t="shared" si="164"/>
        <v>3.1340524174940336</v>
      </c>
      <c r="AT91" s="6">
        <f t="shared" si="140"/>
        <v>1.2489081062194269</v>
      </c>
      <c r="AU91" s="6">
        <f t="shared" si="165"/>
        <v>1.8851443112746067</v>
      </c>
      <c r="AV91" s="6">
        <f t="shared" si="141"/>
        <v>1.8851443112746067</v>
      </c>
      <c r="AW91" s="179">
        <f t="shared" si="166"/>
        <v>0.39849624060150374</v>
      </c>
      <c r="AX91" s="179">
        <f t="shared" si="142"/>
        <v>4.7777777777777768</v>
      </c>
      <c r="AY91" s="179">
        <f t="shared" si="143"/>
        <v>0.90146750524108998</v>
      </c>
      <c r="AZ91" s="179">
        <f t="shared" si="167"/>
        <v>5.3</v>
      </c>
      <c r="BA91" s="472">
        <f t="shared" si="144"/>
        <v>21.481219426974146</v>
      </c>
      <c r="BB91" s="6">
        <f t="shared" si="145"/>
        <v>0.3127361318858336</v>
      </c>
      <c r="BC91" s="6"/>
      <c r="BD91" s="179">
        <f t="shared" si="168"/>
        <v>0.36414299378073089</v>
      </c>
      <c r="BE91" s="179">
        <f t="shared" si="146"/>
        <v>1.3421475774527931</v>
      </c>
      <c r="BF91" s="179"/>
      <c r="BG91" s="546">
        <f t="shared" si="147"/>
        <v>4.6410041971857691E-2</v>
      </c>
      <c r="BH91" s="546">
        <f t="shared" si="148"/>
        <v>9.5399999999999985E-2</v>
      </c>
      <c r="BI91" s="546">
        <f t="shared" si="149"/>
        <v>3.9884463738468403E-3</v>
      </c>
      <c r="BJ91" s="546">
        <f t="shared" si="150"/>
        <v>2.5398586046511629E-2</v>
      </c>
      <c r="BK91">
        <f t="shared" si="151"/>
        <v>6.96E-3</v>
      </c>
      <c r="BL91" s="546">
        <f t="shared" si="152"/>
        <v>0.18743661314369786</v>
      </c>
      <c r="BM91" s="472">
        <f t="shared" si="169"/>
        <v>187.43661314369785</v>
      </c>
      <c r="BN91" s="546">
        <f t="shared" si="153"/>
        <v>0.33368000000000003</v>
      </c>
      <c r="BO91" s="546"/>
      <c r="BQ91" s="472">
        <f t="shared" si="170"/>
        <v>333.68</v>
      </c>
      <c r="BR91" s="546">
        <f t="shared" si="154"/>
        <v>2.6520023983918686E-2</v>
      </c>
      <c r="BS91" s="546">
        <f t="shared" si="155"/>
        <v>7.2054404786496051E-2</v>
      </c>
      <c r="BT91" s="546">
        <f t="shared" si="156"/>
        <v>9.0730967801936124E-2</v>
      </c>
      <c r="BU91" s="546">
        <f t="shared" si="157"/>
        <v>0.20273307176416255</v>
      </c>
      <c r="BV91" s="546">
        <f t="shared" si="158"/>
        <v>3.1851851851851846E-2</v>
      </c>
      <c r="BW91" s="472">
        <f t="shared" si="171"/>
        <v>234.58492361601441</v>
      </c>
      <c r="BX91" s="179">
        <f t="shared" si="172"/>
        <v>0.7557015367597123</v>
      </c>
      <c r="BY91" s="6">
        <f t="shared" si="173"/>
        <v>4.3</v>
      </c>
      <c r="BZ91" s="179">
        <f t="shared" si="174"/>
        <v>0.85052489130043563</v>
      </c>
      <c r="CA91" s="6">
        <f t="shared" si="175"/>
        <v>85.052489130043568</v>
      </c>
      <c r="CD91" s="581">
        <f t="shared" si="159"/>
        <v>-50</v>
      </c>
      <c r="CE91">
        <f t="shared" si="160"/>
        <v>-50</v>
      </c>
    </row>
    <row r="92" spans="5:83" x14ac:dyDescent="0.2">
      <c r="E92" s="176">
        <v>87</v>
      </c>
      <c r="F92" s="223">
        <f t="shared" si="161"/>
        <v>0.87</v>
      </c>
      <c r="G92" s="223"/>
      <c r="H92" s="223">
        <f t="shared" si="113"/>
        <v>4.3499999999999996</v>
      </c>
      <c r="I92" s="559">
        <f t="shared" si="114"/>
        <v>24</v>
      </c>
      <c r="J92" s="178">
        <f t="shared" si="115"/>
        <v>15.899999999999999</v>
      </c>
      <c r="K92" s="454">
        <f t="shared" si="116"/>
        <v>39.9</v>
      </c>
      <c r="L92" s="454"/>
      <c r="M92" s="223">
        <f t="shared" si="117"/>
        <v>0.39849624060150374</v>
      </c>
      <c r="N92" s="178">
        <f t="shared" si="118"/>
        <v>6.4556390977443598</v>
      </c>
      <c r="O92" s="178">
        <f t="shared" si="162"/>
        <v>4.3499999999999996</v>
      </c>
      <c r="P92" s="223">
        <f t="shared" si="119"/>
        <v>1.291127819548872</v>
      </c>
      <c r="Q92" s="223">
        <f t="shared" si="120"/>
        <v>5</v>
      </c>
      <c r="R92" s="223">
        <f t="shared" si="121"/>
        <v>1.4345864661654135</v>
      </c>
      <c r="S92" s="178">
        <f t="shared" si="122"/>
        <v>10.836202968532602</v>
      </c>
      <c r="T92" s="178">
        <f t="shared" si="123"/>
        <v>5</v>
      </c>
      <c r="U92" s="223">
        <f t="shared" si="124"/>
        <v>1.0107442348008384</v>
      </c>
      <c r="V92" s="223">
        <f t="shared" si="125"/>
        <v>1.2634302935010482</v>
      </c>
      <c r="W92" s="223">
        <f t="shared" si="126"/>
        <v>1.9070645939638464</v>
      </c>
      <c r="X92" s="203">
        <f t="shared" si="127"/>
        <v>350</v>
      </c>
      <c r="Y92" s="454">
        <f t="shared" si="163"/>
        <v>315.40817301225582</v>
      </c>
      <c r="AA92" s="223">
        <f t="shared" si="128"/>
        <v>0.91084854994629427</v>
      </c>
      <c r="AB92" s="179">
        <f t="shared" si="129"/>
        <v>1.7185821697099894</v>
      </c>
      <c r="AC92" s="179">
        <f t="shared" si="130"/>
        <v>0.82181824055304764</v>
      </c>
      <c r="AD92" s="179"/>
      <c r="AE92" s="179">
        <f t="shared" si="131"/>
        <v>0.5660377358490567</v>
      </c>
      <c r="AF92" s="563">
        <f t="shared" si="176"/>
        <v>3415.5555555555552</v>
      </c>
      <c r="AG92" s="546">
        <f t="shared" si="132"/>
        <v>8.9150943396226423E-2</v>
      </c>
      <c r="AI92" s="179">
        <f t="shared" si="133"/>
        <v>0.98786285276500596</v>
      </c>
      <c r="AJ92" s="179">
        <f t="shared" si="134"/>
        <v>1.0107442348008384</v>
      </c>
      <c r="AK92" s="179">
        <f t="shared" si="135"/>
        <v>1.726477210963584</v>
      </c>
      <c r="AM92" s="563">
        <f t="shared" si="136"/>
        <v>870</v>
      </c>
      <c r="AN92" s="472">
        <f t="shared" si="137"/>
        <v>315.40817301225582</v>
      </c>
      <c r="AP92">
        <f t="shared" si="138"/>
        <v>870</v>
      </c>
      <c r="AQ92">
        <f t="shared" si="139"/>
        <v>315.40817301225582</v>
      </c>
      <c r="AS92" s="6">
        <f t="shared" si="164"/>
        <v>3.1704948874648942</v>
      </c>
      <c r="AT92" s="6">
        <f t="shared" si="140"/>
        <v>1.2634302935010482</v>
      </c>
      <c r="AU92" s="6">
        <f t="shared" si="165"/>
        <v>1.907064593963846</v>
      </c>
      <c r="AV92" s="6">
        <f t="shared" si="141"/>
        <v>1.9070645939638464</v>
      </c>
      <c r="AW92" s="179">
        <f t="shared" si="166"/>
        <v>0.39849624060150379</v>
      </c>
      <c r="AX92" s="179">
        <f t="shared" si="142"/>
        <v>4.8333333333333321</v>
      </c>
      <c r="AY92" s="179">
        <f t="shared" si="143"/>
        <v>0.9119496855345911</v>
      </c>
      <c r="AZ92" s="179">
        <f t="shared" si="167"/>
        <v>5.2999999999999989</v>
      </c>
      <c r="BA92" s="472">
        <f t="shared" si="144"/>
        <v>21.983687106918239</v>
      </c>
      <c r="BB92" s="6">
        <f t="shared" si="145"/>
        <v>0.3200513496814324</v>
      </c>
      <c r="BC92" s="6"/>
      <c r="BD92" s="179">
        <f t="shared" si="168"/>
        <v>0.36837721463864642</v>
      </c>
      <c r="BE92" s="179">
        <f t="shared" si="146"/>
        <v>1.3577539446324769</v>
      </c>
      <c r="BF92" s="179"/>
      <c r="BG92" s="546">
        <f t="shared" si="147"/>
        <v>4.7495620292724583E-2</v>
      </c>
      <c r="BH92" s="546">
        <f t="shared" si="148"/>
        <v>9.5399999999999957E-2</v>
      </c>
      <c r="BI92" s="546">
        <f t="shared" si="149"/>
        <v>3.9426021626531972E-3</v>
      </c>
      <c r="BJ92" s="546">
        <f t="shared" si="150"/>
        <v>2.5106648275862068E-2</v>
      </c>
      <c r="BK92">
        <f t="shared" si="151"/>
        <v>6.96E-3</v>
      </c>
      <c r="BL92" s="546">
        <f t="shared" si="152"/>
        <v>0.18841761190403716</v>
      </c>
      <c r="BM92" s="472">
        <f t="shared" si="169"/>
        <v>188.41761190403716</v>
      </c>
      <c r="BN92" s="546">
        <f t="shared" si="153"/>
        <v>0.33756000000000003</v>
      </c>
      <c r="BO92" s="546"/>
      <c r="BQ92" s="472">
        <f t="shared" si="170"/>
        <v>337.56</v>
      </c>
      <c r="BR92" s="546">
        <f t="shared" si="154"/>
        <v>2.7140354452985477E-2</v>
      </c>
      <c r="BS92" s="546">
        <f t="shared" si="155"/>
        <v>7.3739830966602041E-2</v>
      </c>
      <c r="BT92" s="546">
        <f t="shared" si="156"/>
        <v>9.0730967801936041E-2</v>
      </c>
      <c r="BU92" s="546">
        <f t="shared" si="157"/>
        <v>0.20537423070982705</v>
      </c>
      <c r="BV92" s="546">
        <f t="shared" si="158"/>
        <v>3.2222222222222215E-2</v>
      </c>
      <c r="BW92" s="472">
        <f t="shared" si="171"/>
        <v>237.59645293204926</v>
      </c>
      <c r="BX92" s="179">
        <f t="shared" si="172"/>
        <v>0.76357406483608647</v>
      </c>
      <c r="BY92" s="6">
        <f t="shared" si="173"/>
        <v>4.3499999999999996</v>
      </c>
      <c r="BZ92" s="179">
        <f t="shared" si="174"/>
        <v>0.85067703035986764</v>
      </c>
      <c r="CA92" s="6">
        <f t="shared" si="175"/>
        <v>85.067703035986767</v>
      </c>
      <c r="CD92" s="581">
        <f t="shared" si="159"/>
        <v>-50</v>
      </c>
      <c r="CE92">
        <f t="shared" si="160"/>
        <v>-50</v>
      </c>
    </row>
    <row r="93" spans="5:83" x14ac:dyDescent="0.2">
      <c r="E93" s="176">
        <v>88</v>
      </c>
      <c r="F93" s="223">
        <f t="shared" si="161"/>
        <v>0.88</v>
      </c>
      <c r="G93" s="223"/>
      <c r="H93" s="223">
        <f t="shared" si="113"/>
        <v>4.4000000000000004</v>
      </c>
      <c r="I93" s="559">
        <f t="shared" si="114"/>
        <v>24</v>
      </c>
      <c r="J93" s="178">
        <f t="shared" si="115"/>
        <v>15.899999999999999</v>
      </c>
      <c r="K93" s="454">
        <f t="shared" si="116"/>
        <v>39.9</v>
      </c>
      <c r="L93" s="454"/>
      <c r="M93" s="223">
        <f t="shared" si="117"/>
        <v>0.39849624060150374</v>
      </c>
      <c r="N93" s="178">
        <f t="shared" si="118"/>
        <v>6.4556390977443598</v>
      </c>
      <c r="O93" s="178">
        <f t="shared" si="162"/>
        <v>4.4000000000000004</v>
      </c>
      <c r="P93" s="223">
        <f t="shared" si="119"/>
        <v>1.291127819548872</v>
      </c>
      <c r="Q93" s="223">
        <f t="shared" si="120"/>
        <v>5</v>
      </c>
      <c r="R93" s="223">
        <f t="shared" si="121"/>
        <v>1.4345864661654135</v>
      </c>
      <c r="S93" s="178">
        <f t="shared" si="122"/>
        <v>10.628696244109134</v>
      </c>
      <c r="T93" s="178">
        <f t="shared" si="123"/>
        <v>5</v>
      </c>
      <c r="U93" s="223">
        <f t="shared" si="124"/>
        <v>1.0223619846261356</v>
      </c>
      <c r="V93" s="223">
        <f t="shared" si="125"/>
        <v>1.2779524807826694</v>
      </c>
      <c r="W93" s="223">
        <f t="shared" si="126"/>
        <v>1.9289848766530864</v>
      </c>
      <c r="X93" s="203">
        <f t="shared" si="127"/>
        <v>350</v>
      </c>
      <c r="Y93" s="454">
        <f t="shared" si="163"/>
        <v>311.8239892280256</v>
      </c>
      <c r="AA93" s="223">
        <f t="shared" si="128"/>
        <v>0.91084854994629427</v>
      </c>
      <c r="AB93" s="179">
        <f t="shared" si="129"/>
        <v>1.7185821697099894</v>
      </c>
      <c r="AC93" s="179">
        <f t="shared" si="130"/>
        <v>0.82181824055304764</v>
      </c>
      <c r="AD93" s="179"/>
      <c r="AE93" s="179">
        <f t="shared" si="131"/>
        <v>0.5660377358490567</v>
      </c>
      <c r="AF93" s="563">
        <f t="shared" si="176"/>
        <v>3454.8148148148143</v>
      </c>
      <c r="AG93" s="546">
        <f t="shared" si="132"/>
        <v>8.9150943396226423E-2</v>
      </c>
      <c r="AI93" s="179">
        <f t="shared" si="133"/>
        <v>0.99352400428472132</v>
      </c>
      <c r="AJ93" s="179">
        <f t="shared" si="134"/>
        <v>1.0223619846261356</v>
      </c>
      <c r="AK93" s="179">
        <f t="shared" si="135"/>
        <v>1.7350829515749151</v>
      </c>
      <c r="AM93" s="563">
        <f t="shared" si="136"/>
        <v>880</v>
      </c>
      <c r="AN93" s="472">
        <f t="shared" si="137"/>
        <v>311.8239892280256</v>
      </c>
      <c r="AP93">
        <f t="shared" si="138"/>
        <v>880</v>
      </c>
      <c r="AQ93">
        <f t="shared" si="139"/>
        <v>311.8239892280256</v>
      </c>
      <c r="AS93" s="6">
        <f t="shared" si="164"/>
        <v>3.206937357435756</v>
      </c>
      <c r="AT93" s="6">
        <f t="shared" si="140"/>
        <v>1.2779524807826694</v>
      </c>
      <c r="AU93" s="6">
        <f t="shared" si="165"/>
        <v>1.9289848766530866</v>
      </c>
      <c r="AV93" s="6">
        <f t="shared" si="141"/>
        <v>1.9289848766530864</v>
      </c>
      <c r="AW93" s="179">
        <f t="shared" si="166"/>
        <v>0.39849624060150368</v>
      </c>
      <c r="AX93" s="179">
        <f t="shared" si="142"/>
        <v>4.8888888888888875</v>
      </c>
      <c r="AY93" s="179">
        <f t="shared" si="143"/>
        <v>0.92243186582809245</v>
      </c>
      <c r="AZ93" s="179">
        <f t="shared" si="167"/>
        <v>5.2999999999999972</v>
      </c>
      <c r="BA93" s="472">
        <f t="shared" si="144"/>
        <v>22.491963661774982</v>
      </c>
      <c r="BB93" s="6">
        <f t="shared" si="145"/>
        <v>0.32745113646888813</v>
      </c>
      <c r="BC93" s="6"/>
      <c r="BD93" s="179">
        <f t="shared" si="168"/>
        <v>0.37261143549656184</v>
      </c>
      <c r="BE93" s="179">
        <f t="shared" si="146"/>
        <v>1.3733603118121609</v>
      </c>
      <c r="BF93" s="179"/>
      <c r="BG93" s="546">
        <f t="shared" si="147"/>
        <v>4.859374865198296E-2</v>
      </c>
      <c r="BH93" s="546">
        <f t="shared" si="148"/>
        <v>9.5399999999999971E-2</v>
      </c>
      <c r="BI93" s="546">
        <f t="shared" si="149"/>
        <v>3.89779986535032E-3</v>
      </c>
      <c r="BJ93" s="546">
        <f t="shared" si="150"/>
        <v>2.4821345454545451E-2</v>
      </c>
      <c r="BK93">
        <f t="shared" si="151"/>
        <v>6.96E-3</v>
      </c>
      <c r="BL93" s="546">
        <f t="shared" si="152"/>
        <v>0.1894224956172727</v>
      </c>
      <c r="BM93" s="472">
        <f t="shared" si="169"/>
        <v>189.42249561727269</v>
      </c>
      <c r="BN93" s="546">
        <f t="shared" si="153"/>
        <v>0.34144000000000002</v>
      </c>
      <c r="BO93" s="546"/>
      <c r="BQ93" s="472">
        <f t="shared" si="170"/>
        <v>341.44</v>
      </c>
      <c r="BR93" s="546">
        <f t="shared" si="154"/>
        <v>2.7767856372561697E-2</v>
      </c>
      <c r="BS93" s="546">
        <f t="shared" si="155"/>
        <v>7.5444741842431842E-2</v>
      </c>
      <c r="BT93" s="546">
        <f t="shared" si="156"/>
        <v>9.0730967801936235E-2</v>
      </c>
      <c r="BU93" s="546">
        <f t="shared" si="157"/>
        <v>0.20804692287961216</v>
      </c>
      <c r="BV93" s="546">
        <f t="shared" si="158"/>
        <v>3.259259259259259E-2</v>
      </c>
      <c r="BW93" s="472">
        <f t="shared" si="171"/>
        <v>240.63951547220475</v>
      </c>
      <c r="BX93" s="179">
        <f t="shared" si="172"/>
        <v>0.77150201108947747</v>
      </c>
      <c r="BY93" s="6">
        <f t="shared" si="173"/>
        <v>4.4000000000000004</v>
      </c>
      <c r="BZ93" s="179">
        <f t="shared" si="174"/>
        <v>0.85081664680104307</v>
      </c>
      <c r="CA93" s="6">
        <f t="shared" si="175"/>
        <v>85.081664680104311</v>
      </c>
      <c r="CD93" s="581">
        <f t="shared" si="159"/>
        <v>-50</v>
      </c>
      <c r="CE93">
        <f t="shared" si="160"/>
        <v>-50</v>
      </c>
    </row>
    <row r="94" spans="5:83" x14ac:dyDescent="0.2">
      <c r="E94" s="176">
        <v>89</v>
      </c>
      <c r="F94" s="223">
        <f t="shared" si="161"/>
        <v>0.89</v>
      </c>
      <c r="G94" s="223"/>
      <c r="H94" s="223">
        <f t="shared" si="113"/>
        <v>4.45</v>
      </c>
      <c r="I94" s="559">
        <f t="shared" si="114"/>
        <v>24</v>
      </c>
      <c r="J94" s="178">
        <f t="shared" si="115"/>
        <v>15.899999999999999</v>
      </c>
      <c r="K94" s="454">
        <f t="shared" si="116"/>
        <v>39.9</v>
      </c>
      <c r="L94" s="454"/>
      <c r="M94" s="223">
        <f t="shared" si="117"/>
        <v>0.39849624060150374</v>
      </c>
      <c r="N94" s="178">
        <f t="shared" si="118"/>
        <v>6.4556390977443598</v>
      </c>
      <c r="O94" s="178">
        <f t="shared" si="162"/>
        <v>4.45</v>
      </c>
      <c r="P94" s="223">
        <f t="shared" si="119"/>
        <v>1.291127819548872</v>
      </c>
      <c r="Q94" s="223">
        <f t="shared" si="120"/>
        <v>5</v>
      </c>
      <c r="R94" s="223">
        <f t="shared" si="121"/>
        <v>1.4345864661654135</v>
      </c>
      <c r="S94" s="178">
        <f t="shared" si="122"/>
        <v>10.426002499671066</v>
      </c>
      <c r="T94" s="178">
        <f t="shared" si="123"/>
        <v>5</v>
      </c>
      <c r="U94" s="223">
        <f t="shared" si="124"/>
        <v>1.0339797344514325</v>
      </c>
      <c r="V94" s="223">
        <f t="shared" si="125"/>
        <v>1.2924746680642907</v>
      </c>
      <c r="W94" s="223">
        <f t="shared" si="126"/>
        <v>1.9509051593423259</v>
      </c>
      <c r="X94" s="203">
        <f t="shared" si="127"/>
        <v>350</v>
      </c>
      <c r="Y94" s="454">
        <f t="shared" si="163"/>
        <v>308.32034889962085</v>
      </c>
      <c r="AA94" s="223">
        <f t="shared" si="128"/>
        <v>0.91084854994629427</v>
      </c>
      <c r="AB94" s="179">
        <f t="shared" si="129"/>
        <v>1.7185821697099894</v>
      </c>
      <c r="AC94" s="179">
        <f t="shared" si="130"/>
        <v>0.82181824055304764</v>
      </c>
      <c r="AD94" s="179"/>
      <c r="AE94" s="179">
        <f t="shared" si="131"/>
        <v>0.5660377358490567</v>
      </c>
      <c r="AF94" s="563">
        <f t="shared" si="176"/>
        <v>3494.0740740740739</v>
      </c>
      <c r="AG94" s="546">
        <f t="shared" si="132"/>
        <v>8.9150943396226423E-2</v>
      </c>
      <c r="AI94" s="179">
        <f t="shared" si="133"/>
        <v>0.99915308051713392</v>
      </c>
      <c r="AJ94" s="179">
        <f t="shared" si="134"/>
        <v>1.0339797344514325</v>
      </c>
      <c r="AK94" s="179">
        <f t="shared" si="135"/>
        <v>1.7436886921862462</v>
      </c>
      <c r="AM94" s="563">
        <f t="shared" si="136"/>
        <v>890</v>
      </c>
      <c r="AN94" s="472">
        <f t="shared" si="137"/>
        <v>308.32034889962085</v>
      </c>
      <c r="AP94">
        <f t="shared" si="138"/>
        <v>890</v>
      </c>
      <c r="AQ94">
        <f t="shared" si="139"/>
        <v>308.32034889962085</v>
      </c>
      <c r="AS94" s="6">
        <f t="shared" si="164"/>
        <v>3.2433798274066161</v>
      </c>
      <c r="AT94" s="6">
        <f t="shared" si="140"/>
        <v>1.2924746680642907</v>
      </c>
      <c r="AU94" s="6">
        <f t="shared" si="165"/>
        <v>1.9509051593423254</v>
      </c>
      <c r="AV94" s="6">
        <f t="shared" si="141"/>
        <v>1.9509051593423259</v>
      </c>
      <c r="AW94" s="179">
        <f t="shared" si="166"/>
        <v>0.39849624060150379</v>
      </c>
      <c r="AX94" s="179">
        <f t="shared" si="142"/>
        <v>4.9444444444444438</v>
      </c>
      <c r="AY94" s="179">
        <f t="shared" si="143"/>
        <v>0.93291404612159323</v>
      </c>
      <c r="AZ94" s="179">
        <f t="shared" si="167"/>
        <v>5.3</v>
      </c>
      <c r="BA94" s="472">
        <f t="shared" si="144"/>
        <v>23.006049091544373</v>
      </c>
      <c r="BB94" s="6">
        <f t="shared" si="145"/>
        <v>0.33493549224820013</v>
      </c>
      <c r="BC94" s="6"/>
      <c r="BD94" s="179">
        <f t="shared" si="168"/>
        <v>0.37684565635447742</v>
      </c>
      <c r="BE94" s="179">
        <f t="shared" si="146"/>
        <v>1.3889666789918442</v>
      </c>
      <c r="BF94" s="179"/>
      <c r="BG94" s="546">
        <f t="shared" si="147"/>
        <v>4.9704427049632904E-2</v>
      </c>
      <c r="BH94" s="546">
        <f t="shared" si="148"/>
        <v>9.5399999999999971E-2</v>
      </c>
      <c r="BI94" s="546">
        <f t="shared" si="149"/>
        <v>3.854004361245261E-3</v>
      </c>
      <c r="BJ94" s="546">
        <f t="shared" si="150"/>
        <v>2.4542453932584269E-2</v>
      </c>
      <c r="BK94">
        <f t="shared" si="151"/>
        <v>6.96E-3</v>
      </c>
      <c r="BL94" s="546">
        <f t="shared" si="152"/>
        <v>0.19045104205972427</v>
      </c>
      <c r="BM94" s="472">
        <f t="shared" si="169"/>
        <v>190.45104205972427</v>
      </c>
      <c r="BN94" s="546">
        <f t="shared" si="153"/>
        <v>0.34532000000000002</v>
      </c>
      <c r="BO94" s="546"/>
      <c r="BQ94" s="472">
        <f t="shared" si="170"/>
        <v>345.32</v>
      </c>
      <c r="BR94" s="546">
        <f t="shared" si="154"/>
        <v>2.8402529742647377E-2</v>
      </c>
      <c r="BS94" s="546">
        <f t="shared" si="155"/>
        <v>7.7169137413985317E-2</v>
      </c>
      <c r="BT94" s="546">
        <f t="shared" si="156"/>
        <v>9.073096780193611E-2</v>
      </c>
      <c r="BU94" s="546">
        <f t="shared" si="157"/>
        <v>0.21075118331962764</v>
      </c>
      <c r="BV94" s="546">
        <f t="shared" si="158"/>
        <v>3.2962962962962965E-2</v>
      </c>
      <c r="BW94" s="472">
        <f t="shared" si="171"/>
        <v>243.7141462825906</v>
      </c>
      <c r="BX94" s="179">
        <f t="shared" si="172"/>
        <v>0.77948518834231484</v>
      </c>
      <c r="BY94" s="6">
        <f t="shared" si="173"/>
        <v>4.45</v>
      </c>
      <c r="BZ94" s="179">
        <f t="shared" si="174"/>
        <v>0.85094418278878381</v>
      </c>
      <c r="CA94" s="6">
        <f t="shared" si="175"/>
        <v>85.094418278878379</v>
      </c>
      <c r="CD94" s="581">
        <f t="shared" si="159"/>
        <v>-50</v>
      </c>
      <c r="CE94">
        <f t="shared" si="160"/>
        <v>-50</v>
      </c>
    </row>
    <row r="95" spans="5:83" x14ac:dyDescent="0.2">
      <c r="E95" s="176">
        <v>90</v>
      </c>
      <c r="F95" s="223">
        <f t="shared" si="161"/>
        <v>0.9</v>
      </c>
      <c r="G95" s="223"/>
      <c r="H95" s="223">
        <f t="shared" si="113"/>
        <v>4.5</v>
      </c>
      <c r="I95" s="559">
        <f t="shared" si="114"/>
        <v>24</v>
      </c>
      <c r="J95" s="178">
        <f t="shared" si="115"/>
        <v>15.899999999999999</v>
      </c>
      <c r="K95" s="454">
        <f t="shared" si="116"/>
        <v>39.9</v>
      </c>
      <c r="L95" s="454"/>
      <c r="M95" s="223">
        <f t="shared" si="117"/>
        <v>0.39849624060150374</v>
      </c>
      <c r="N95" s="178">
        <f t="shared" si="118"/>
        <v>6.4556390977443598</v>
      </c>
      <c r="O95" s="178">
        <f t="shared" si="162"/>
        <v>4.5</v>
      </c>
      <c r="P95" s="223">
        <f t="shared" si="119"/>
        <v>1.291127819548872</v>
      </c>
      <c r="Q95" s="223">
        <f t="shared" si="120"/>
        <v>5</v>
      </c>
      <c r="R95" s="223">
        <f t="shared" si="121"/>
        <v>1.4345864661654135</v>
      </c>
      <c r="S95" s="178">
        <f t="shared" si="122"/>
        <v>10.22796429887741</v>
      </c>
      <c r="T95" s="178">
        <f t="shared" si="123"/>
        <v>5</v>
      </c>
      <c r="U95" s="223">
        <f t="shared" si="124"/>
        <v>1.0455974842767295</v>
      </c>
      <c r="V95" s="223">
        <f t="shared" si="125"/>
        <v>1.3069968553459117</v>
      </c>
      <c r="W95" s="223">
        <f t="shared" si="126"/>
        <v>1.9728254420315652</v>
      </c>
      <c r="X95" s="203">
        <f t="shared" si="127"/>
        <v>350</v>
      </c>
      <c r="Y95" s="454">
        <f t="shared" si="163"/>
        <v>304.89456724518067</v>
      </c>
      <c r="AA95" s="223">
        <f t="shared" si="128"/>
        <v>0.91084854994629427</v>
      </c>
      <c r="AB95" s="179">
        <f t="shared" si="129"/>
        <v>1.7185821697099894</v>
      </c>
      <c r="AC95" s="179">
        <f t="shared" si="130"/>
        <v>0.82181824055304764</v>
      </c>
      <c r="AD95" s="179"/>
      <c r="AE95" s="179">
        <f t="shared" si="131"/>
        <v>0.5660377358490567</v>
      </c>
      <c r="AF95" s="563">
        <f t="shared" si="176"/>
        <v>3533.3333333333326</v>
      </c>
      <c r="AG95" s="546">
        <f t="shared" si="132"/>
        <v>8.9150943396226423E-2</v>
      </c>
      <c r="AI95" s="179">
        <f t="shared" si="133"/>
        <v>1.0047506205640331</v>
      </c>
      <c r="AJ95" s="179">
        <f t="shared" si="134"/>
        <v>1.0455974842767295</v>
      </c>
      <c r="AK95" s="179">
        <f t="shared" si="135"/>
        <v>1.7522944327975774</v>
      </c>
      <c r="AM95" s="563">
        <f t="shared" si="136"/>
        <v>900</v>
      </c>
      <c r="AN95" s="472">
        <f t="shared" si="137"/>
        <v>304.89456724518067</v>
      </c>
      <c r="AP95">
        <f t="shared" si="138"/>
        <v>900</v>
      </c>
      <c r="AQ95">
        <f t="shared" si="139"/>
        <v>304.89456724518067</v>
      </c>
      <c r="AS95" s="6">
        <f t="shared" si="164"/>
        <v>3.2798222973774767</v>
      </c>
      <c r="AT95" s="6">
        <f t="shared" si="140"/>
        <v>1.3069968553459117</v>
      </c>
      <c r="AU95" s="6">
        <f t="shared" si="165"/>
        <v>1.972825442031565</v>
      </c>
      <c r="AV95" s="6">
        <f t="shared" si="141"/>
        <v>1.9728254420315652</v>
      </c>
      <c r="AW95" s="179">
        <f t="shared" si="166"/>
        <v>0.39849624060150374</v>
      </c>
      <c r="AX95" s="179">
        <f t="shared" si="142"/>
        <v>5.0000000000000009</v>
      </c>
      <c r="AY95" s="179">
        <f t="shared" si="143"/>
        <v>0.94339622641509413</v>
      </c>
      <c r="AZ95" s="179">
        <f t="shared" si="167"/>
        <v>5.3000000000000025</v>
      </c>
      <c r="BA95" s="472">
        <f t="shared" si="144"/>
        <v>23.52594339622641</v>
      </c>
      <c r="BB95" s="6">
        <f t="shared" si="145"/>
        <v>0.3425044170193689</v>
      </c>
      <c r="BC95" s="6"/>
      <c r="BD95" s="179">
        <f t="shared" si="168"/>
        <v>0.38107987721239284</v>
      </c>
      <c r="BE95" s="179">
        <f t="shared" si="146"/>
        <v>1.4045730461715278</v>
      </c>
      <c r="BF95" s="179"/>
      <c r="BG95" s="546">
        <f t="shared" si="147"/>
        <v>5.082765548567434E-2</v>
      </c>
      <c r="BH95" s="546">
        <f t="shared" si="148"/>
        <v>9.5399999999999999E-2</v>
      </c>
      <c r="BI95" s="546">
        <f t="shared" si="149"/>
        <v>3.8111820905647581E-3</v>
      </c>
      <c r="BJ95" s="546">
        <f t="shared" si="150"/>
        <v>2.4269760000000005E-2</v>
      </c>
      <c r="BK95">
        <f t="shared" si="151"/>
        <v>6.96E-3</v>
      </c>
      <c r="BL95" s="546">
        <f t="shared" si="152"/>
        <v>0.19150304099702167</v>
      </c>
      <c r="BM95" s="472">
        <f t="shared" si="169"/>
        <v>191.50304099702169</v>
      </c>
      <c r="BN95" s="546">
        <f t="shared" si="153"/>
        <v>0.34920000000000001</v>
      </c>
      <c r="BO95" s="546"/>
      <c r="BQ95" s="472">
        <f t="shared" si="170"/>
        <v>349.2</v>
      </c>
      <c r="BR95" s="546">
        <f t="shared" si="154"/>
        <v>2.9044374563242482E-2</v>
      </c>
      <c r="BS95" s="546">
        <f t="shared" si="155"/>
        <v>7.891301768126259E-2</v>
      </c>
      <c r="BT95" s="546">
        <f t="shared" si="156"/>
        <v>9.0730967801936305E-2</v>
      </c>
      <c r="BU95" s="546">
        <f t="shared" si="157"/>
        <v>0.21348704750995426</v>
      </c>
      <c r="BV95" s="546">
        <f t="shared" si="158"/>
        <v>3.333333333333334E-2</v>
      </c>
      <c r="BW95" s="472">
        <f t="shared" si="171"/>
        <v>246.82038084328761</v>
      </c>
      <c r="BX95" s="179">
        <f t="shared" si="172"/>
        <v>0.78752342184030932</v>
      </c>
      <c r="BY95" s="6">
        <f t="shared" si="173"/>
        <v>4.5</v>
      </c>
      <c r="BZ95" s="179">
        <f t="shared" si="174"/>
        <v>0.85106005987842714</v>
      </c>
      <c r="CA95" s="6">
        <f t="shared" si="175"/>
        <v>85.106005987842721</v>
      </c>
      <c r="CD95" s="581">
        <f t="shared" si="159"/>
        <v>-50</v>
      </c>
      <c r="CE95">
        <f t="shared" si="160"/>
        <v>-50</v>
      </c>
    </row>
    <row r="96" spans="5:83" x14ac:dyDescent="0.2">
      <c r="E96" s="176">
        <v>91</v>
      </c>
      <c r="F96" s="223">
        <f t="shared" si="161"/>
        <v>0.91</v>
      </c>
      <c r="G96" s="223"/>
      <c r="H96" s="223">
        <f t="shared" si="113"/>
        <v>4.55</v>
      </c>
      <c r="I96" s="559">
        <f t="shared" si="114"/>
        <v>24</v>
      </c>
      <c r="J96" s="178">
        <f t="shared" si="115"/>
        <v>15.899999999999999</v>
      </c>
      <c r="K96" s="454">
        <f t="shared" si="116"/>
        <v>39.9</v>
      </c>
      <c r="L96" s="454"/>
      <c r="M96" s="223">
        <f t="shared" si="117"/>
        <v>0.39849624060150374</v>
      </c>
      <c r="N96" s="178">
        <f t="shared" si="118"/>
        <v>6.4556390977443598</v>
      </c>
      <c r="O96" s="178">
        <f t="shared" si="162"/>
        <v>4.55</v>
      </c>
      <c r="P96" s="223">
        <f t="shared" si="119"/>
        <v>1.291127819548872</v>
      </c>
      <c r="Q96" s="223">
        <f t="shared" si="120"/>
        <v>5</v>
      </c>
      <c r="R96" s="223">
        <f t="shared" si="121"/>
        <v>1.4345864661654135</v>
      </c>
      <c r="S96" s="178">
        <f t="shared" si="122"/>
        <v>10.034431193192834</v>
      </c>
      <c r="T96" s="223">
        <f t="shared" si="123"/>
        <v>5</v>
      </c>
      <c r="U96" s="223">
        <f t="shared" si="124"/>
        <v>1.0572152341020264</v>
      </c>
      <c r="V96" s="223">
        <f t="shared" si="125"/>
        <v>1.3215190426275329</v>
      </c>
      <c r="W96" s="223">
        <f t="shared" si="126"/>
        <v>1.9947457247208047</v>
      </c>
      <c r="X96" s="203">
        <f t="shared" si="127"/>
        <v>350</v>
      </c>
      <c r="Y96" s="454">
        <f t="shared" si="163"/>
        <v>301.54407749523358</v>
      </c>
      <c r="AA96" s="223">
        <f t="shared" si="128"/>
        <v>0.91084854994629427</v>
      </c>
      <c r="AB96" s="179">
        <f t="shared" si="129"/>
        <v>1.7185821697099894</v>
      </c>
      <c r="AC96" s="179">
        <f t="shared" si="130"/>
        <v>0.82181824055304764</v>
      </c>
      <c r="AD96" s="179"/>
      <c r="AE96" s="179">
        <f t="shared" si="131"/>
        <v>0.5660377358490567</v>
      </c>
      <c r="AF96" s="563">
        <f t="shared" si="176"/>
        <v>3572.5925925925917</v>
      </c>
      <c r="AG96" s="546">
        <f t="shared" si="132"/>
        <v>8.9150943396226423E-2</v>
      </c>
      <c r="AI96" s="179">
        <f t="shared" si="133"/>
        <v>1.0103171485928271</v>
      </c>
      <c r="AJ96" s="179">
        <f t="shared" si="134"/>
        <v>1.0572152341020264</v>
      </c>
      <c r="AK96" s="179">
        <f t="shared" si="135"/>
        <v>1.7609001734089085</v>
      </c>
      <c r="AM96" s="563">
        <f t="shared" si="136"/>
        <v>910</v>
      </c>
      <c r="AN96" s="472">
        <f t="shared" si="137"/>
        <v>301.54407749523358</v>
      </c>
      <c r="AP96">
        <f t="shared" si="138"/>
        <v>910</v>
      </c>
      <c r="AQ96">
        <f t="shared" si="139"/>
        <v>301.54407749523358</v>
      </c>
      <c r="AS96" s="6">
        <f t="shared" si="164"/>
        <v>3.3162647673483376</v>
      </c>
      <c r="AT96" s="6">
        <f t="shared" si="140"/>
        <v>1.3215190426275329</v>
      </c>
      <c r="AU96" s="6">
        <f t="shared" si="165"/>
        <v>1.9947457247208047</v>
      </c>
      <c r="AV96" s="6">
        <f t="shared" si="141"/>
        <v>1.9947457247208047</v>
      </c>
      <c r="AW96" s="179">
        <f t="shared" si="166"/>
        <v>0.39849624060150374</v>
      </c>
      <c r="AX96" s="179">
        <f t="shared" si="142"/>
        <v>5.0555555555555545</v>
      </c>
      <c r="AY96" s="179">
        <f t="shared" si="143"/>
        <v>0.95387840670859525</v>
      </c>
      <c r="AZ96" s="179">
        <f t="shared" si="167"/>
        <v>5.3</v>
      </c>
      <c r="BA96" s="472">
        <f t="shared" si="144"/>
        <v>24.051646575821103</v>
      </c>
      <c r="BB96" s="6">
        <f t="shared" si="145"/>
        <v>0.35015791078239428</v>
      </c>
      <c r="BC96" s="6"/>
      <c r="BD96" s="179">
        <f t="shared" si="168"/>
        <v>0.38531409807030831</v>
      </c>
      <c r="BE96" s="179">
        <f t="shared" si="146"/>
        <v>1.4201794133512113</v>
      </c>
      <c r="BF96" s="179"/>
      <c r="BG96" s="546">
        <f t="shared" si="147"/>
        <v>5.1963433960107303E-2</v>
      </c>
      <c r="BH96" s="546">
        <f t="shared" si="148"/>
        <v>9.5399999999999971E-2</v>
      </c>
      <c r="BI96" s="546">
        <f t="shared" si="149"/>
        <v>3.7693009686904197E-3</v>
      </c>
      <c r="BJ96" s="546">
        <f t="shared" si="150"/>
        <v>2.4003059340659341E-2</v>
      </c>
      <c r="BK96">
        <f t="shared" si="151"/>
        <v>6.96E-3</v>
      </c>
      <c r="BL96" s="546">
        <f t="shared" si="152"/>
        <v>0.19257829355478348</v>
      </c>
      <c r="BM96" s="472">
        <f t="shared" si="169"/>
        <v>192.57829355478347</v>
      </c>
      <c r="BN96" s="546">
        <f t="shared" si="153"/>
        <v>0.35308000000000006</v>
      </c>
      <c r="BO96" s="546"/>
      <c r="BQ96" s="472">
        <f t="shared" si="170"/>
        <v>353.08000000000004</v>
      </c>
      <c r="BR96" s="546">
        <f t="shared" si="154"/>
        <v>2.9693390834347036E-2</v>
      </c>
      <c r="BS96" s="546">
        <f t="shared" si="155"/>
        <v>8.0676382644263647E-2</v>
      </c>
      <c r="BT96" s="546">
        <f t="shared" si="156"/>
        <v>9.0730967801936124E-2</v>
      </c>
      <c r="BU96" s="546">
        <f t="shared" si="157"/>
        <v>0.2162545513658172</v>
      </c>
      <c r="BV96" s="546">
        <f t="shared" si="158"/>
        <v>3.3703703703703701E-2</v>
      </c>
      <c r="BW96" s="472">
        <f t="shared" si="171"/>
        <v>249.9582550695209</v>
      </c>
      <c r="BX96" s="179">
        <f t="shared" si="172"/>
        <v>0.79561654862430442</v>
      </c>
      <c r="BY96" s="6">
        <f t="shared" si="173"/>
        <v>4.55</v>
      </c>
      <c r="BZ96" s="179">
        <f t="shared" si="174"/>
        <v>0.85116468018472891</v>
      </c>
      <c r="CA96" s="6">
        <f t="shared" si="175"/>
        <v>85.116468018472887</v>
      </c>
      <c r="CD96" s="581">
        <f t="shared" si="159"/>
        <v>-50</v>
      </c>
      <c r="CE96">
        <f t="shared" si="160"/>
        <v>-50</v>
      </c>
    </row>
    <row r="97" spans="5:83" x14ac:dyDescent="0.2">
      <c r="E97" s="176">
        <v>92</v>
      </c>
      <c r="F97" s="223">
        <f t="shared" si="161"/>
        <v>0.92</v>
      </c>
      <c r="G97" s="223"/>
      <c r="H97" s="223">
        <f t="shared" si="113"/>
        <v>4.6000000000000005</v>
      </c>
      <c r="I97" s="559">
        <f t="shared" si="114"/>
        <v>24</v>
      </c>
      <c r="J97" s="178">
        <f t="shared" si="115"/>
        <v>15.899999999999999</v>
      </c>
      <c r="K97" s="454">
        <f t="shared" si="116"/>
        <v>39.9</v>
      </c>
      <c r="L97" s="454"/>
      <c r="M97" s="223">
        <f t="shared" si="117"/>
        <v>0.39849624060150374</v>
      </c>
      <c r="N97" s="178">
        <f t="shared" si="118"/>
        <v>6.4556390977443598</v>
      </c>
      <c r="O97" s="178">
        <f t="shared" si="162"/>
        <v>4.6000000000000005</v>
      </c>
      <c r="P97" s="223">
        <f t="shared" si="119"/>
        <v>1.291127819548872</v>
      </c>
      <c r="Q97" s="223">
        <f t="shared" si="120"/>
        <v>5</v>
      </c>
      <c r="R97" s="223">
        <f t="shared" si="121"/>
        <v>1.4345864661654135</v>
      </c>
      <c r="S97" s="178">
        <f t="shared" si="122"/>
        <v>9.8452593435232298</v>
      </c>
      <c r="T97" s="550">
        <f t="shared" si="123"/>
        <v>5</v>
      </c>
      <c r="U97" s="550">
        <f t="shared" si="124"/>
        <v>1.0688329839273236</v>
      </c>
      <c r="V97" s="223">
        <f t="shared" si="125"/>
        <v>1.3360412299091544</v>
      </c>
      <c r="W97" s="223">
        <f t="shared" si="126"/>
        <v>2.0166660074100449</v>
      </c>
      <c r="X97" s="203">
        <f t="shared" si="127"/>
        <v>350</v>
      </c>
      <c r="Y97" s="454">
        <f t="shared" si="163"/>
        <v>298.26642447898098</v>
      </c>
      <c r="AA97" s="223">
        <f t="shared" si="128"/>
        <v>0.91084854994629427</v>
      </c>
      <c r="AB97" s="179">
        <f t="shared" si="129"/>
        <v>1.7185821697099894</v>
      </c>
      <c r="AC97" s="179">
        <f t="shared" si="130"/>
        <v>0.82181824055304764</v>
      </c>
      <c r="AD97" s="179"/>
      <c r="AE97" s="179">
        <f t="shared" si="131"/>
        <v>0.5660377358490567</v>
      </c>
      <c r="AF97" s="563">
        <f t="shared" si="176"/>
        <v>3611.8518518518513</v>
      </c>
      <c r="AG97" s="546">
        <f t="shared" si="132"/>
        <v>8.9150943396226423E-2</v>
      </c>
      <c r="AI97" s="179">
        <f t="shared" si="133"/>
        <v>1.0158531744094084</v>
      </c>
      <c r="AJ97" s="179">
        <f t="shared" si="134"/>
        <v>1.0688329839273236</v>
      </c>
      <c r="AK97" s="179">
        <f t="shared" si="135"/>
        <v>1.7695059140202396</v>
      </c>
      <c r="AM97" s="563">
        <f t="shared" si="136"/>
        <v>920</v>
      </c>
      <c r="AN97" s="472">
        <f t="shared" si="137"/>
        <v>298.26642447898098</v>
      </c>
      <c r="AP97">
        <f t="shared" si="138"/>
        <v>920</v>
      </c>
      <c r="AQ97">
        <f t="shared" si="139"/>
        <v>298.26642447898098</v>
      </c>
      <c r="AS97" s="6">
        <f t="shared" si="164"/>
        <v>3.3527072373191995</v>
      </c>
      <c r="AT97" s="6">
        <f t="shared" si="140"/>
        <v>1.3360412299091544</v>
      </c>
      <c r="AU97" s="6">
        <f t="shared" si="165"/>
        <v>2.0166660074100449</v>
      </c>
      <c r="AV97" s="6">
        <f t="shared" si="141"/>
        <v>2.0166660074100449</v>
      </c>
      <c r="AW97" s="179">
        <f t="shared" si="166"/>
        <v>0.39849624060150368</v>
      </c>
      <c r="AX97" s="179">
        <f t="shared" si="142"/>
        <v>5.1111111111111107</v>
      </c>
      <c r="AY97" s="179">
        <f t="shared" si="143"/>
        <v>0.96436058700209659</v>
      </c>
      <c r="AZ97" s="179">
        <f t="shared" si="167"/>
        <v>5.2999999999999989</v>
      </c>
      <c r="BA97" s="472">
        <f t="shared" si="144"/>
        <v>24.583158630328441</v>
      </c>
      <c r="BB97" s="6">
        <f t="shared" si="145"/>
        <v>0.35789597353727648</v>
      </c>
      <c r="BC97" s="6"/>
      <c r="BD97" s="179">
        <f t="shared" si="168"/>
        <v>0.38954831892822378</v>
      </c>
      <c r="BE97" s="179">
        <f t="shared" si="146"/>
        <v>1.4357857805308953</v>
      </c>
      <c r="BF97" s="179"/>
      <c r="BG97" s="546">
        <f t="shared" si="147"/>
        <v>5.3111762472931805E-2</v>
      </c>
      <c r="BH97" s="546">
        <f t="shared" si="148"/>
        <v>9.5399999999999971E-2</v>
      </c>
      <c r="BI97" s="546">
        <f t="shared" si="149"/>
        <v>3.7283303059872618E-3</v>
      </c>
      <c r="BJ97" s="546">
        <f t="shared" si="150"/>
        <v>2.3742156521739128E-2</v>
      </c>
      <c r="BK97">
        <f t="shared" si="151"/>
        <v>6.96E-3</v>
      </c>
      <c r="BL97" s="546">
        <f t="shared" si="152"/>
        <v>0.19367661163054609</v>
      </c>
      <c r="BM97" s="472">
        <f t="shared" si="169"/>
        <v>193.67661163054609</v>
      </c>
      <c r="BN97" s="546">
        <f t="shared" si="153"/>
        <v>0.35696000000000006</v>
      </c>
      <c r="BO97" s="546"/>
      <c r="BQ97" s="472">
        <f t="shared" si="170"/>
        <v>356.96000000000004</v>
      </c>
      <c r="BR97" s="546">
        <f t="shared" si="154"/>
        <v>3.0349578555961033E-2</v>
      </c>
      <c r="BS97" s="546">
        <f t="shared" si="155"/>
        <v>8.2459232302988503E-2</v>
      </c>
      <c r="BT97" s="546">
        <f t="shared" si="156"/>
        <v>9.073096780193611E-2</v>
      </c>
      <c r="BU97" s="546">
        <f t="shared" si="157"/>
        <v>0.21905373123878064</v>
      </c>
      <c r="BV97" s="546">
        <f t="shared" si="158"/>
        <v>3.4074074074074069E-2</v>
      </c>
      <c r="BW97" s="472">
        <f t="shared" si="171"/>
        <v>253.12780531285472</v>
      </c>
      <c r="BX97" s="179">
        <f t="shared" si="172"/>
        <v>0.80376441694340073</v>
      </c>
      <c r="BY97" s="6">
        <f t="shared" si="173"/>
        <v>4.6000000000000005</v>
      </c>
      <c r="BZ97" s="179">
        <f t="shared" si="174"/>
        <v>0.85125842747266833</v>
      </c>
      <c r="CA97" s="6">
        <f t="shared" si="175"/>
        <v>85.12584274726683</v>
      </c>
      <c r="CD97" s="581">
        <f t="shared" si="159"/>
        <v>-50</v>
      </c>
      <c r="CE97">
        <f t="shared" si="160"/>
        <v>-50</v>
      </c>
    </row>
    <row r="98" spans="5:83" x14ac:dyDescent="0.2">
      <c r="E98" s="176">
        <v>93</v>
      </c>
      <c r="F98" s="223">
        <f t="shared" si="161"/>
        <v>0.93</v>
      </c>
      <c r="G98" s="223"/>
      <c r="H98" s="223">
        <f t="shared" si="113"/>
        <v>4.6500000000000004</v>
      </c>
      <c r="I98" s="559">
        <f t="shared" si="114"/>
        <v>24</v>
      </c>
      <c r="J98" s="178">
        <f t="shared" si="115"/>
        <v>15.899999999999999</v>
      </c>
      <c r="K98" s="454">
        <f t="shared" si="116"/>
        <v>39.9</v>
      </c>
      <c r="L98" s="454"/>
      <c r="M98" s="223">
        <f t="shared" si="117"/>
        <v>0.39849624060150374</v>
      </c>
      <c r="N98" s="178">
        <f t="shared" si="118"/>
        <v>6.4556390977443598</v>
      </c>
      <c r="O98" s="178">
        <f t="shared" si="162"/>
        <v>4.6500000000000004</v>
      </c>
      <c r="P98" s="223">
        <f t="shared" si="119"/>
        <v>1.291127819548872</v>
      </c>
      <c r="Q98" s="223">
        <f t="shared" si="120"/>
        <v>5</v>
      </c>
      <c r="R98" s="223">
        <f t="shared" si="121"/>
        <v>1.4345864661654135</v>
      </c>
      <c r="S98" s="178">
        <f t="shared" si="122"/>
        <v>9.6603111662717147</v>
      </c>
      <c r="T98" s="550">
        <f t="shared" si="123"/>
        <v>5</v>
      </c>
      <c r="U98" s="550">
        <f t="shared" si="124"/>
        <v>1.0804507337526206</v>
      </c>
      <c r="V98" s="223">
        <f t="shared" si="125"/>
        <v>1.3505634171907757</v>
      </c>
      <c r="W98" s="223">
        <f t="shared" si="126"/>
        <v>2.0385862900992846</v>
      </c>
      <c r="X98" s="203">
        <f t="shared" si="127"/>
        <v>350</v>
      </c>
      <c r="Y98" s="454">
        <f t="shared" si="163"/>
        <v>295.05925862436834</v>
      </c>
      <c r="AA98" s="223">
        <f t="shared" si="128"/>
        <v>0.91084854994629427</v>
      </c>
      <c r="AB98" s="179">
        <f t="shared" si="129"/>
        <v>1.7185821697099894</v>
      </c>
      <c r="AC98" s="179">
        <f t="shared" si="130"/>
        <v>0.82181824055304764</v>
      </c>
      <c r="AD98" s="179"/>
      <c r="AE98" s="179">
        <f t="shared" si="131"/>
        <v>0.5660377358490567</v>
      </c>
      <c r="AF98" s="563">
        <f t="shared" si="176"/>
        <v>3651.1111111111104</v>
      </c>
      <c r="AG98" s="546">
        <f t="shared" si="132"/>
        <v>8.9150943396226423E-2</v>
      </c>
      <c r="AI98" s="179">
        <f t="shared" si="133"/>
        <v>1.0213591940030713</v>
      </c>
      <c r="AJ98" s="179">
        <f t="shared" si="134"/>
        <v>1.0804507337526206</v>
      </c>
      <c r="AK98" s="179">
        <f t="shared" si="135"/>
        <v>1.7781116546315707</v>
      </c>
      <c r="AM98" s="563">
        <f t="shared" si="136"/>
        <v>930</v>
      </c>
      <c r="AN98" s="472">
        <f t="shared" si="137"/>
        <v>295.05925862436834</v>
      </c>
      <c r="AP98">
        <f t="shared" si="138"/>
        <v>930</v>
      </c>
      <c r="AQ98">
        <f t="shared" si="139"/>
        <v>295.05925862436834</v>
      </c>
      <c r="AS98" s="6">
        <f t="shared" si="164"/>
        <v>3.3891497072900596</v>
      </c>
      <c r="AT98" s="6">
        <f t="shared" si="140"/>
        <v>1.3505634171907757</v>
      </c>
      <c r="AU98" s="6">
        <f t="shared" si="165"/>
        <v>2.0385862900992837</v>
      </c>
      <c r="AV98" s="6">
        <f t="shared" si="141"/>
        <v>2.0385862900992846</v>
      </c>
      <c r="AW98" s="179">
        <f t="shared" si="166"/>
        <v>0.39849624060150379</v>
      </c>
      <c r="AX98" s="179">
        <f t="shared" si="142"/>
        <v>5.166666666666667</v>
      </c>
      <c r="AY98" s="179">
        <f t="shared" si="143"/>
        <v>0.97484276729559749</v>
      </c>
      <c r="AZ98" s="179">
        <f t="shared" si="167"/>
        <v>5.3000000000000007</v>
      </c>
      <c r="BA98" s="472">
        <f t="shared" si="144"/>
        <v>25.120479559748428</v>
      </c>
      <c r="BB98" s="6">
        <f t="shared" si="145"/>
        <v>0.36571860528401501</v>
      </c>
      <c r="BC98" s="6"/>
      <c r="BD98" s="179">
        <f t="shared" si="168"/>
        <v>0.39378253978613936</v>
      </c>
      <c r="BE98" s="179">
        <f t="shared" si="146"/>
        <v>1.4513921477105789</v>
      </c>
      <c r="BF98" s="179"/>
      <c r="BG98" s="546">
        <f t="shared" si="147"/>
        <v>5.4272641024147854E-2</v>
      </c>
      <c r="BH98" s="546">
        <f t="shared" si="148"/>
        <v>9.5399999999999985E-2</v>
      </c>
      <c r="BI98" s="546">
        <f t="shared" si="149"/>
        <v>3.6882407328046041E-3</v>
      </c>
      <c r="BJ98" s="546">
        <f t="shared" si="150"/>
        <v>2.3486864516129032E-2</v>
      </c>
      <c r="BK98">
        <f t="shared" si="151"/>
        <v>6.96E-3</v>
      </c>
      <c r="BL98" s="546">
        <f t="shared" si="152"/>
        <v>0.19479781734384241</v>
      </c>
      <c r="BM98" s="472">
        <f t="shared" si="169"/>
        <v>194.79781734384241</v>
      </c>
      <c r="BN98" s="546">
        <f t="shared" si="153"/>
        <v>0.36084000000000005</v>
      </c>
      <c r="BO98" s="546"/>
      <c r="BQ98" s="472">
        <f t="shared" si="170"/>
        <v>360.84000000000003</v>
      </c>
      <c r="BR98" s="546">
        <f t="shared" si="154"/>
        <v>3.1012937728084489E-2</v>
      </c>
      <c r="BS98" s="546">
        <f t="shared" si="155"/>
        <v>8.4261566657437087E-2</v>
      </c>
      <c r="BT98" s="546">
        <f t="shared" si="156"/>
        <v>9.0730967801936235E-2</v>
      </c>
      <c r="BU98" s="546">
        <f t="shared" si="157"/>
        <v>0.22188462391795319</v>
      </c>
      <c r="BV98" s="546">
        <f t="shared" si="158"/>
        <v>3.4444444444444444E-2</v>
      </c>
      <c r="BW98" s="472">
        <f t="shared" si="171"/>
        <v>256.32906836239766</v>
      </c>
      <c r="BX98" s="179">
        <f t="shared" si="172"/>
        <v>0.81196688570624009</v>
      </c>
      <c r="BY98" s="6">
        <f t="shared" si="173"/>
        <v>4.6500000000000004</v>
      </c>
      <c r="BZ98" s="179">
        <f t="shared" si="174"/>
        <v>0.85134166817614254</v>
      </c>
      <c r="CA98" s="6">
        <f t="shared" si="175"/>
        <v>85.134166817614258</v>
      </c>
      <c r="CD98" s="581">
        <f t="shared" si="159"/>
        <v>-50</v>
      </c>
      <c r="CE98">
        <f t="shared" si="160"/>
        <v>-50</v>
      </c>
    </row>
    <row r="99" spans="5:83" x14ac:dyDescent="0.2">
      <c r="E99" s="176">
        <v>94</v>
      </c>
      <c r="F99" s="223">
        <f t="shared" si="161"/>
        <v>0.94</v>
      </c>
      <c r="G99" s="223"/>
      <c r="H99" s="223">
        <f t="shared" si="113"/>
        <v>4.6999999999999993</v>
      </c>
      <c r="I99" s="559">
        <f t="shared" si="114"/>
        <v>24</v>
      </c>
      <c r="J99" s="178">
        <f t="shared" si="115"/>
        <v>15.899999999999999</v>
      </c>
      <c r="K99" s="454">
        <f t="shared" si="116"/>
        <v>39.9</v>
      </c>
      <c r="L99" s="454"/>
      <c r="M99" s="223">
        <f t="shared" si="117"/>
        <v>0.39849624060150374</v>
      </c>
      <c r="N99" s="178">
        <f t="shared" si="118"/>
        <v>6.4556390977443598</v>
      </c>
      <c r="O99" s="178">
        <f t="shared" si="162"/>
        <v>4.6999999999999993</v>
      </c>
      <c r="P99" s="223">
        <f t="shared" si="119"/>
        <v>1.291127819548872</v>
      </c>
      <c r="Q99" s="223">
        <f t="shared" si="120"/>
        <v>5</v>
      </c>
      <c r="R99" s="223">
        <f t="shared" si="121"/>
        <v>1.4345864661654135</v>
      </c>
      <c r="S99" s="178">
        <f t="shared" si="122"/>
        <v>9.4794550019946708</v>
      </c>
      <c r="T99" s="550">
        <f t="shared" si="123"/>
        <v>5</v>
      </c>
      <c r="U99" s="550">
        <f t="shared" si="124"/>
        <v>1.0920684835779173</v>
      </c>
      <c r="V99" s="223">
        <f t="shared" si="125"/>
        <v>1.3650856044723967</v>
      </c>
      <c r="W99" s="223">
        <f t="shared" si="126"/>
        <v>2.0605065727885234</v>
      </c>
      <c r="X99" s="203">
        <f t="shared" si="127"/>
        <v>350</v>
      </c>
      <c r="Y99" s="454">
        <f t="shared" si="163"/>
        <v>291.92033034113041</v>
      </c>
      <c r="AA99" s="223">
        <f t="shared" si="128"/>
        <v>0.91084854994629427</v>
      </c>
      <c r="AB99" s="179">
        <f t="shared" si="129"/>
        <v>1.7185821697099894</v>
      </c>
      <c r="AC99" s="179">
        <f t="shared" si="130"/>
        <v>0.82181824055304764</v>
      </c>
      <c r="AD99" s="179"/>
      <c r="AE99" s="179">
        <f t="shared" si="131"/>
        <v>0.5660377358490567</v>
      </c>
      <c r="AF99" s="563">
        <f t="shared" si="176"/>
        <v>3690.3703703703695</v>
      </c>
      <c r="AG99" s="546">
        <f t="shared" si="132"/>
        <v>8.9150943396226423E-2</v>
      </c>
      <c r="AI99" s="179">
        <f t="shared" si="133"/>
        <v>1.0268356900651312</v>
      </c>
      <c r="AJ99" s="179">
        <f t="shared" si="134"/>
        <v>1.0920684835779173</v>
      </c>
      <c r="AK99" s="179">
        <f t="shared" si="135"/>
        <v>1.7867173952429016</v>
      </c>
      <c r="AM99" s="563">
        <f t="shared" si="136"/>
        <v>940</v>
      </c>
      <c r="AN99" s="472">
        <f t="shared" si="137"/>
        <v>291.92033034113041</v>
      </c>
      <c r="AP99">
        <f t="shared" si="138"/>
        <v>940</v>
      </c>
      <c r="AQ99">
        <f t="shared" si="139"/>
        <v>291.92033034113041</v>
      </c>
      <c r="AS99" s="6">
        <f t="shared" si="164"/>
        <v>3.4255921772609201</v>
      </c>
      <c r="AT99" s="6">
        <f t="shared" si="140"/>
        <v>1.3650856044723967</v>
      </c>
      <c r="AU99" s="6">
        <f t="shared" si="165"/>
        <v>2.0605065727885234</v>
      </c>
      <c r="AV99" s="6">
        <f t="shared" si="141"/>
        <v>2.0605065727885234</v>
      </c>
      <c r="AW99" s="179">
        <f t="shared" si="166"/>
        <v>0.39849624060150374</v>
      </c>
      <c r="AX99" s="179">
        <f t="shared" si="142"/>
        <v>5.2222222222222205</v>
      </c>
      <c r="AY99" s="179">
        <f t="shared" si="143"/>
        <v>0.98532494758909817</v>
      </c>
      <c r="AZ99" s="179">
        <f t="shared" si="167"/>
        <v>5.3000000000000007</v>
      </c>
      <c r="BA99" s="472">
        <f t="shared" si="144"/>
        <v>25.663609364081058</v>
      </c>
      <c r="BB99" s="6">
        <f t="shared" si="145"/>
        <v>0.37362580602261025</v>
      </c>
      <c r="BC99" s="6"/>
      <c r="BD99" s="179">
        <f t="shared" si="168"/>
        <v>0.39801676064405467</v>
      </c>
      <c r="BE99" s="179">
        <f t="shared" si="146"/>
        <v>1.466998514890262</v>
      </c>
      <c r="BF99" s="179"/>
      <c r="BG99" s="546">
        <f t="shared" si="147"/>
        <v>5.5446069613755346E-2</v>
      </c>
      <c r="BH99" s="546">
        <f t="shared" si="148"/>
        <v>9.5399999999999971E-2</v>
      </c>
      <c r="BI99" s="546">
        <f t="shared" si="149"/>
        <v>3.6490041292641302E-3</v>
      </c>
      <c r="BJ99" s="546">
        <f t="shared" si="150"/>
        <v>2.323700425531915E-2</v>
      </c>
      <c r="BK99">
        <f t="shared" si="151"/>
        <v>6.96E-3</v>
      </c>
      <c r="BL99" s="546">
        <f t="shared" si="152"/>
        <v>0.19594174252159169</v>
      </c>
      <c r="BM99" s="472">
        <f t="shared" si="169"/>
        <v>195.94174252159169</v>
      </c>
      <c r="BN99" s="546">
        <f t="shared" si="153"/>
        <v>0.36471999999999999</v>
      </c>
      <c r="BO99" s="546"/>
      <c r="BQ99" s="472">
        <f t="shared" si="170"/>
        <v>364.71999999999997</v>
      </c>
      <c r="BR99" s="546">
        <f t="shared" si="154"/>
        <v>3.1683468350717343E-2</v>
      </c>
      <c r="BS99" s="546">
        <f t="shared" si="155"/>
        <v>8.6083385707609372E-2</v>
      </c>
      <c r="BT99" s="546">
        <f t="shared" si="156"/>
        <v>9.0730967801935986E-2</v>
      </c>
      <c r="BU99" s="546">
        <f t="shared" si="157"/>
        <v>0.22474726663121117</v>
      </c>
      <c r="BV99" s="546">
        <f t="shared" si="158"/>
        <v>3.4814814814814805E-2</v>
      </c>
      <c r="BW99" s="472">
        <f t="shared" si="171"/>
        <v>259.56208144602601</v>
      </c>
      <c r="BX99" s="179">
        <f t="shared" si="172"/>
        <v>0.82022382396761762</v>
      </c>
      <c r="BY99" s="6">
        <f t="shared" si="173"/>
        <v>4.6999999999999993</v>
      </c>
      <c r="BZ99" s="179">
        <f t="shared" si="174"/>
        <v>0.8514147523500073</v>
      </c>
      <c r="CA99" s="6">
        <f t="shared" si="175"/>
        <v>85.141475235000726</v>
      </c>
      <c r="CD99" s="581">
        <f t="shared" si="159"/>
        <v>-50</v>
      </c>
      <c r="CE99">
        <f t="shared" si="160"/>
        <v>-50</v>
      </c>
    </row>
    <row r="100" spans="5:83" x14ac:dyDescent="0.2">
      <c r="E100" s="176">
        <v>95</v>
      </c>
      <c r="F100" s="223">
        <f t="shared" si="161"/>
        <v>0.95</v>
      </c>
      <c r="G100" s="223"/>
      <c r="H100" s="223">
        <f t="shared" si="113"/>
        <v>4.75</v>
      </c>
      <c r="I100" s="559">
        <f t="shared" si="114"/>
        <v>24</v>
      </c>
      <c r="J100" s="178">
        <f t="shared" si="115"/>
        <v>15.899999999999999</v>
      </c>
      <c r="K100" s="454">
        <f t="shared" si="116"/>
        <v>39.9</v>
      </c>
      <c r="L100" s="454"/>
      <c r="M100" s="223">
        <f t="shared" si="117"/>
        <v>0.39849624060150374</v>
      </c>
      <c r="N100" s="178">
        <f t="shared" si="118"/>
        <v>6.4556390977443598</v>
      </c>
      <c r="O100" s="178">
        <f t="shared" si="162"/>
        <v>4.75</v>
      </c>
      <c r="P100" s="223">
        <f t="shared" si="119"/>
        <v>1.291127819548872</v>
      </c>
      <c r="Q100" s="223">
        <f t="shared" si="120"/>
        <v>5</v>
      </c>
      <c r="R100" s="223">
        <f t="shared" si="121"/>
        <v>1.4345864661654135</v>
      </c>
      <c r="S100" s="178">
        <f t="shared" si="122"/>
        <v>9.3025648049905492</v>
      </c>
      <c r="T100" s="550">
        <f t="shared" si="123"/>
        <v>5</v>
      </c>
      <c r="U100" s="550">
        <f t="shared" si="124"/>
        <v>1.1036862334032145</v>
      </c>
      <c r="V100" s="223">
        <f t="shared" si="125"/>
        <v>1.3796077917540179</v>
      </c>
      <c r="W100" s="223">
        <f t="shared" si="126"/>
        <v>2.0824268554777632</v>
      </c>
      <c r="X100" s="203">
        <f t="shared" si="127"/>
        <v>350</v>
      </c>
      <c r="Y100" s="454">
        <f t="shared" si="163"/>
        <v>288.8474847585922</v>
      </c>
      <c r="AA100" s="223">
        <f t="shared" si="128"/>
        <v>0.91084854994629427</v>
      </c>
      <c r="AB100" s="179">
        <f t="shared" si="129"/>
        <v>1.7185821697099894</v>
      </c>
      <c r="AC100" s="179">
        <f t="shared" si="130"/>
        <v>0.82181824055304764</v>
      </c>
      <c r="AD100" s="179"/>
      <c r="AE100" s="179">
        <f t="shared" si="131"/>
        <v>0.5660377358490567</v>
      </c>
      <c r="AF100" s="563">
        <f t="shared" si="176"/>
        <v>3729.6296296296287</v>
      </c>
      <c r="AG100" s="546">
        <f t="shared" si="132"/>
        <v>8.9150943396226423E-2</v>
      </c>
      <c r="AI100" s="179">
        <f t="shared" si="133"/>
        <v>1.0322831324827824</v>
      </c>
      <c r="AJ100" s="179">
        <f t="shared" si="134"/>
        <v>1.1036862334032145</v>
      </c>
      <c r="AK100" s="179">
        <f t="shared" si="135"/>
        <v>1.795323135854233</v>
      </c>
      <c r="AM100" s="563">
        <f t="shared" si="136"/>
        <v>950</v>
      </c>
      <c r="AN100" s="472">
        <f t="shared" si="137"/>
        <v>288.8474847585922</v>
      </c>
      <c r="AP100">
        <f t="shared" si="138"/>
        <v>950</v>
      </c>
      <c r="AQ100">
        <f t="shared" si="139"/>
        <v>288.8474847585922</v>
      </c>
      <c r="AS100" s="6">
        <f t="shared" si="164"/>
        <v>3.4620346472317807</v>
      </c>
      <c r="AT100" s="6">
        <f t="shared" si="140"/>
        <v>1.3796077917540179</v>
      </c>
      <c r="AU100" s="6">
        <f t="shared" si="165"/>
        <v>2.0824268554777627</v>
      </c>
      <c r="AV100" s="6">
        <f t="shared" si="141"/>
        <v>2.0824268554777632</v>
      </c>
      <c r="AW100" s="179">
        <f t="shared" si="166"/>
        <v>0.39849624060150379</v>
      </c>
      <c r="AX100" s="179">
        <f t="shared" si="142"/>
        <v>5.2777777777777777</v>
      </c>
      <c r="AY100" s="179">
        <f t="shared" si="143"/>
        <v>0.9958071278825994</v>
      </c>
      <c r="AZ100" s="179">
        <f t="shared" si="167"/>
        <v>5.3000000000000007</v>
      </c>
      <c r="BA100" s="472">
        <f t="shared" si="144"/>
        <v>26.212548043326336</v>
      </c>
      <c r="BB100" s="6">
        <f t="shared" si="145"/>
        <v>0.38161757575306215</v>
      </c>
      <c r="BC100" s="6"/>
      <c r="BD100" s="179">
        <f t="shared" si="168"/>
        <v>0.40225098150197031</v>
      </c>
      <c r="BE100" s="179">
        <f t="shared" si="146"/>
        <v>1.482604882069946</v>
      </c>
      <c r="BF100" s="179"/>
      <c r="BG100" s="546">
        <f t="shared" si="147"/>
        <v>5.6632048241754454E-2</v>
      </c>
      <c r="BH100" s="546">
        <f t="shared" si="148"/>
        <v>9.5399999999999985E-2</v>
      </c>
      <c r="BI100" s="546">
        <f t="shared" si="149"/>
        <v>3.6105935594824023E-3</v>
      </c>
      <c r="BJ100" s="546">
        <f t="shared" si="150"/>
        <v>2.2992404210526316E-2</v>
      </c>
      <c r="BK100">
        <f t="shared" si="151"/>
        <v>6.96E-3</v>
      </c>
      <c r="BL100" s="546">
        <f t="shared" si="152"/>
        <v>0.19710822821620325</v>
      </c>
      <c r="BM100" s="472">
        <f t="shared" si="169"/>
        <v>197.10822821620326</v>
      </c>
      <c r="BN100" s="546">
        <f t="shared" si="153"/>
        <v>0.36859999999999998</v>
      </c>
      <c r="BO100" s="546"/>
      <c r="BQ100" s="472">
        <f t="shared" si="170"/>
        <v>368.59999999999997</v>
      </c>
      <c r="BR100" s="546">
        <f t="shared" si="154"/>
        <v>3.2361170423859692E-2</v>
      </c>
      <c r="BS100" s="546">
        <f t="shared" si="155"/>
        <v>8.7924689453505553E-2</v>
      </c>
      <c r="BT100" s="546">
        <f t="shared" si="156"/>
        <v>9.0730967801936263E-2</v>
      </c>
      <c r="BU100" s="546">
        <f t="shared" si="157"/>
        <v>0.22764169704643925</v>
      </c>
      <c r="BV100" s="546">
        <f t="shared" si="158"/>
        <v>3.5185185185185187E-2</v>
      </c>
      <c r="BW100" s="472">
        <f t="shared" si="171"/>
        <v>262.82688223162444</v>
      </c>
      <c r="BX100" s="179">
        <f t="shared" si="172"/>
        <v>0.82853511044782768</v>
      </c>
      <c r="BY100" s="6">
        <f t="shared" si="173"/>
        <v>4.75</v>
      </c>
      <c r="BZ100" s="179">
        <f t="shared" si="174"/>
        <v>0.85147801456047212</v>
      </c>
      <c r="CA100" s="6">
        <f t="shared" si="175"/>
        <v>85.147801456047205</v>
      </c>
      <c r="CD100" s="581">
        <f t="shared" si="159"/>
        <v>-50</v>
      </c>
      <c r="CE100">
        <f t="shared" si="160"/>
        <v>-50</v>
      </c>
    </row>
    <row r="101" spans="5:83" x14ac:dyDescent="0.2">
      <c r="E101" s="176">
        <v>96</v>
      </c>
      <c r="F101" s="223">
        <f t="shared" si="161"/>
        <v>0.96</v>
      </c>
      <c r="G101" s="223"/>
      <c r="H101" s="223">
        <f t="shared" ref="H101:H105" si="177">F101*Vout</f>
        <v>4.8</v>
      </c>
      <c r="I101" s="559">
        <f t="shared" si="114"/>
        <v>24</v>
      </c>
      <c r="J101" s="178">
        <f t="shared" si="115"/>
        <v>15.899999999999999</v>
      </c>
      <c r="K101" s="454">
        <f t="shared" si="116"/>
        <v>39.9</v>
      </c>
      <c r="L101" s="454"/>
      <c r="M101" s="223">
        <f t="shared" si="117"/>
        <v>0.39849624060150374</v>
      </c>
      <c r="N101" s="178">
        <f t="shared" si="118"/>
        <v>6.4556390977443598</v>
      </c>
      <c r="O101" s="178">
        <f t="shared" si="162"/>
        <v>4.8</v>
      </c>
      <c r="P101" s="223">
        <f t="shared" ref="P101:P105" si="178">N101/Vout</f>
        <v>1.291127819548872</v>
      </c>
      <c r="Q101" s="223">
        <f t="shared" si="120"/>
        <v>5</v>
      </c>
      <c r="R101" s="223">
        <f t="shared" ref="R101:R105" si="179">Isw_max/2*I101*Nps*(Q101+Vfwd1)/Q101/(I101+Nps*(Q101+Vfwd1))</f>
        <v>1.4345864661654135</v>
      </c>
      <c r="S101" s="178">
        <f t="shared" si="122"/>
        <v>9.1295198522930487</v>
      </c>
      <c r="T101" s="550">
        <f t="shared" ref="T101:T105" si="180">MIN(Vout, S101)</f>
        <v>5</v>
      </c>
      <c r="U101" s="550">
        <f t="shared" si="124"/>
        <v>1.1153039832285114</v>
      </c>
      <c r="V101" s="223">
        <f t="shared" ref="V101:V105" si="181">L*U101/I101*1000000</f>
        <v>1.3941299790356392</v>
      </c>
      <c r="W101" s="223">
        <f t="shared" si="126"/>
        <v>2.1043471381670029</v>
      </c>
      <c r="X101" s="203">
        <f t="shared" si="127"/>
        <v>350</v>
      </c>
      <c r="Y101" s="454">
        <f t="shared" si="163"/>
        <v>285.83865679235686</v>
      </c>
      <c r="AA101" s="223">
        <f t="shared" si="128"/>
        <v>0.91084854994629427</v>
      </c>
      <c r="AB101" s="179">
        <f t="shared" ref="AB101:AB105" si="182">L*AA101/J101*1000000</f>
        <v>1.7185821697099894</v>
      </c>
      <c r="AC101" s="179">
        <f t="shared" ref="AC101:AC105" si="183">0.5*AB101*AA101*Nps*X101/1000</f>
        <v>0.82181824055304764</v>
      </c>
      <c r="AD101" s="179"/>
      <c r="AE101" s="179">
        <f t="shared" si="131"/>
        <v>0.5660377358490567</v>
      </c>
      <c r="AF101" s="563">
        <f t="shared" si="176"/>
        <v>3768.8888888888882</v>
      </c>
      <c r="AG101" s="546">
        <f t="shared" si="132"/>
        <v>8.9150943396226423E-2</v>
      </c>
      <c r="AI101" s="179">
        <f t="shared" si="133"/>
        <v>1.037701978809618</v>
      </c>
      <c r="AJ101" s="179">
        <f t="shared" ref="AJ101:AJ105" si="184">MAX(IF(F101&gt;AC101,U101,AI101),Isw_min)</f>
        <v>1.1153039832285114</v>
      </c>
      <c r="AK101" s="179">
        <f t="shared" ref="AK101:AK105" si="185">IF(F101&gt;AG101, (AJ101-Isw_min)/1.08*0.8+1.2, AF101*0.2/350+1)</f>
        <v>1.8039288764655639</v>
      </c>
      <c r="AM101" s="563">
        <f t="shared" si="136"/>
        <v>960</v>
      </c>
      <c r="AN101" s="472">
        <f t="shared" si="137"/>
        <v>285.83865679235686</v>
      </c>
      <c r="AP101">
        <f t="shared" si="138"/>
        <v>960</v>
      </c>
      <c r="AQ101">
        <f t="shared" si="139"/>
        <v>285.83865679235686</v>
      </c>
      <c r="AS101" s="6">
        <f t="shared" si="164"/>
        <v>3.4984771172026421</v>
      </c>
      <c r="AT101" s="6">
        <f t="shared" si="140"/>
        <v>1.3941299790356392</v>
      </c>
      <c r="AU101" s="6">
        <f t="shared" si="165"/>
        <v>2.1043471381670029</v>
      </c>
      <c r="AV101" s="6">
        <f t="shared" si="141"/>
        <v>2.1043471381670029</v>
      </c>
      <c r="AW101" s="179">
        <f t="shared" si="166"/>
        <v>0.39849624060150374</v>
      </c>
      <c r="AX101" s="179">
        <f t="shared" si="142"/>
        <v>5.3333333333333321</v>
      </c>
      <c r="AY101" s="179">
        <f t="shared" si="143"/>
        <v>1.0062893081761004</v>
      </c>
      <c r="AZ101" s="179">
        <f t="shared" si="167"/>
        <v>5.3</v>
      </c>
      <c r="BA101" s="472">
        <f t="shared" si="144"/>
        <v>26.767295597484271</v>
      </c>
      <c r="BB101" s="6">
        <f t="shared" si="145"/>
        <v>0.38969391447537083</v>
      </c>
      <c r="BC101" s="6"/>
      <c r="BD101" s="179">
        <f t="shared" si="168"/>
        <v>0.40648520235988567</v>
      </c>
      <c r="BE101" s="179">
        <f t="shared" si="146"/>
        <v>1.4982112492496296</v>
      </c>
      <c r="BF101" s="179"/>
      <c r="BG101" s="546">
        <f t="shared" si="147"/>
        <v>5.7830576908145012E-2</v>
      </c>
      <c r="BH101" s="546">
        <f t="shared" si="148"/>
        <v>9.5399999999999985E-2</v>
      </c>
      <c r="BI101" s="546">
        <f t="shared" si="149"/>
        <v>3.5729832099044602E-3</v>
      </c>
      <c r="BJ101" s="546">
        <f t="shared" si="150"/>
        <v>2.27529E-2</v>
      </c>
      <c r="BK101">
        <f t="shared" si="151"/>
        <v>6.96E-3</v>
      </c>
      <c r="BL101" s="546">
        <f t="shared" ref="BL101:BL105" si="186">(BH101+BI101+BJ101+BK101+BG101*(1+RdsonTC*(Ta-25)))/(1-BG101*RdsonTC*ThetaJA)</f>
        <v>0.19829712425400953</v>
      </c>
      <c r="BM101" s="472">
        <f t="shared" si="169"/>
        <v>198.29712425400953</v>
      </c>
      <c r="BN101" s="546">
        <f t="shared" si="153"/>
        <v>0.37247999999999998</v>
      </c>
      <c r="BO101" s="546"/>
      <c r="BQ101" s="472">
        <f t="shared" si="170"/>
        <v>372.47999999999996</v>
      </c>
      <c r="BR101" s="546">
        <f t="shared" si="154"/>
        <v>3.3046043947511441E-2</v>
      </c>
      <c r="BS101" s="546">
        <f t="shared" si="155"/>
        <v>8.9785477895125435E-2</v>
      </c>
      <c r="BT101" s="546">
        <f t="shared" si="156"/>
        <v>9.0730967801936138E-2</v>
      </c>
      <c r="BU101" s="546">
        <f t="shared" ref="BU101:BU105" si="187">(BT101+(BR101+BS101)*(1+Ltc*(Ta-25)))/(1-(BR101+BS101)*Ltc*ThetaCa)</f>
        <v>0.23056795327278046</v>
      </c>
      <c r="BV101" s="546">
        <f t="shared" si="158"/>
        <v>3.5555555555555556E-2</v>
      </c>
      <c r="BW101" s="472">
        <f t="shared" si="171"/>
        <v>266.12350882833601</v>
      </c>
      <c r="BX101" s="179">
        <f t="shared" si="172"/>
        <v>0.83690063308234552</v>
      </c>
      <c r="BY101" s="6">
        <f t="shared" si="173"/>
        <v>4.8</v>
      </c>
      <c r="BZ101" s="179">
        <f t="shared" si="174"/>
        <v>0.8515317747184209</v>
      </c>
      <c r="CA101" s="6">
        <f t="shared" si="175"/>
        <v>85.153177471842085</v>
      </c>
      <c r="CD101" s="581">
        <f t="shared" si="159"/>
        <v>-50</v>
      </c>
      <c r="CE101">
        <f t="shared" si="160"/>
        <v>-50</v>
      </c>
    </row>
    <row r="102" spans="5:83" x14ac:dyDescent="0.2">
      <c r="E102" s="176">
        <v>97</v>
      </c>
      <c r="F102" s="223">
        <f t="shared" ref="F102:F105" si="188">IF(PLOT_TYPE=1, E102/100*Iout_max, min_I*EXP(N102*rr/100))</f>
        <v>0.97</v>
      </c>
      <c r="G102" s="223"/>
      <c r="H102" s="223">
        <f t="shared" si="177"/>
        <v>4.8499999999999996</v>
      </c>
      <c r="I102" s="559">
        <f t="shared" si="114"/>
        <v>24</v>
      </c>
      <c r="J102" s="178">
        <f t="shared" si="115"/>
        <v>15.899999999999999</v>
      </c>
      <c r="K102" s="454">
        <f t="shared" si="116"/>
        <v>39.9</v>
      </c>
      <c r="L102" s="454"/>
      <c r="M102" s="223">
        <f t="shared" si="117"/>
        <v>0.39849624060150374</v>
      </c>
      <c r="N102" s="178">
        <f t="shared" si="118"/>
        <v>6.4556390977443598</v>
      </c>
      <c r="O102" s="178">
        <f t="shared" si="162"/>
        <v>4.8499999999999996</v>
      </c>
      <c r="P102" s="223">
        <f t="shared" si="178"/>
        <v>1.291127819548872</v>
      </c>
      <c r="Q102" s="223">
        <f t="shared" si="120"/>
        <v>5</v>
      </c>
      <c r="R102" s="223">
        <f t="shared" si="179"/>
        <v>1.4345864661654135</v>
      </c>
      <c r="S102" s="178">
        <f t="shared" si="122"/>
        <v>8.9602044706658432</v>
      </c>
      <c r="T102" s="550">
        <f t="shared" si="180"/>
        <v>5</v>
      </c>
      <c r="U102" s="550">
        <f t="shared" si="124"/>
        <v>1.1269217330538084</v>
      </c>
      <c r="V102" s="223">
        <f t="shared" si="181"/>
        <v>1.4086521663172604</v>
      </c>
      <c r="W102" s="223">
        <f t="shared" si="126"/>
        <v>2.1262674208562427</v>
      </c>
      <c r="X102" s="203">
        <f t="shared" si="127"/>
        <v>350</v>
      </c>
      <c r="Y102" s="454">
        <f t="shared" si="163"/>
        <v>282.89186651614693</v>
      </c>
      <c r="AA102" s="223">
        <f t="shared" si="128"/>
        <v>0.91084854994629427</v>
      </c>
      <c r="AB102" s="179">
        <f t="shared" si="182"/>
        <v>1.7185821697099894</v>
      </c>
      <c r="AC102" s="179">
        <f t="shared" si="183"/>
        <v>0.82181824055304764</v>
      </c>
      <c r="AD102" s="179"/>
      <c r="AE102" s="179">
        <f t="shared" si="131"/>
        <v>0.5660377358490567</v>
      </c>
      <c r="AF102" s="563">
        <f t="shared" si="176"/>
        <v>3808.1481481481474</v>
      </c>
      <c r="AG102" s="546">
        <f t="shared" si="132"/>
        <v>8.9150943396226423E-2</v>
      </c>
      <c r="AI102" s="179">
        <f t="shared" si="133"/>
        <v>1.043092674714154</v>
      </c>
      <c r="AJ102" s="179">
        <f t="shared" si="184"/>
        <v>1.1269217330538084</v>
      </c>
      <c r="AK102" s="179">
        <f t="shared" si="185"/>
        <v>1.812534617076895</v>
      </c>
      <c r="AM102" s="563">
        <f t="shared" si="136"/>
        <v>970</v>
      </c>
      <c r="AN102" s="472">
        <f t="shared" si="137"/>
        <v>282.89186651614693</v>
      </c>
      <c r="AP102">
        <f t="shared" si="138"/>
        <v>970</v>
      </c>
      <c r="AQ102">
        <f t="shared" si="139"/>
        <v>282.89186651614693</v>
      </c>
      <c r="AS102" s="6">
        <f t="shared" si="164"/>
        <v>3.5349195871735035</v>
      </c>
      <c r="AT102" s="6">
        <f t="shared" si="140"/>
        <v>1.4086521663172604</v>
      </c>
      <c r="AU102" s="6">
        <f t="shared" si="165"/>
        <v>2.1262674208562431</v>
      </c>
      <c r="AV102" s="6">
        <f t="shared" si="141"/>
        <v>2.1262674208562427</v>
      </c>
      <c r="AW102" s="179">
        <f t="shared" si="166"/>
        <v>0.39849624060150363</v>
      </c>
      <c r="AX102" s="179">
        <f t="shared" si="142"/>
        <v>5.3888888888888866</v>
      </c>
      <c r="AY102" s="179">
        <f t="shared" si="143"/>
        <v>1.016771488469602</v>
      </c>
      <c r="AZ102" s="179">
        <f t="shared" si="167"/>
        <v>5.2999999999999963</v>
      </c>
      <c r="BA102" s="472">
        <f t="shared" si="144"/>
        <v>27.327852026554851</v>
      </c>
      <c r="BB102" s="6">
        <f t="shared" si="145"/>
        <v>0.39785482218953611</v>
      </c>
      <c r="BC102" s="6"/>
      <c r="BD102" s="179">
        <f t="shared" si="168"/>
        <v>0.41071942321780108</v>
      </c>
      <c r="BE102" s="179">
        <f t="shared" si="146"/>
        <v>1.5138176164293138</v>
      </c>
      <c r="BF102" s="179"/>
      <c r="BG102" s="546">
        <f t="shared" si="147"/>
        <v>5.904165561292711E-2</v>
      </c>
      <c r="BH102" s="546">
        <f t="shared" si="148"/>
        <v>9.5399999999999957E-2</v>
      </c>
      <c r="BI102" s="546">
        <f t="shared" si="149"/>
        <v>3.5361483314518367E-3</v>
      </c>
      <c r="BJ102" s="546">
        <f t="shared" si="150"/>
        <v>2.2518334020618553E-2</v>
      </c>
      <c r="BK102">
        <f t="shared" si="151"/>
        <v>6.96E-3</v>
      </c>
      <c r="BL102" s="546">
        <f t="shared" si="186"/>
        <v>0.19950828881184648</v>
      </c>
      <c r="BM102" s="472">
        <f t="shared" si="169"/>
        <v>199.50828881184648</v>
      </c>
      <c r="BN102" s="546">
        <f t="shared" si="153"/>
        <v>0.37636000000000003</v>
      </c>
      <c r="BO102" s="546"/>
      <c r="BQ102" s="472">
        <f t="shared" si="170"/>
        <v>376.36</v>
      </c>
      <c r="BR102" s="546">
        <f t="shared" si="154"/>
        <v>3.373808892167264E-2</v>
      </c>
      <c r="BS102" s="546">
        <f t="shared" si="155"/>
        <v>9.166575103246917E-2</v>
      </c>
      <c r="BT102" s="546">
        <f t="shared" si="156"/>
        <v>9.0730967801936124E-2</v>
      </c>
      <c r="BU102" s="546">
        <f t="shared" si="187"/>
        <v>0.23352607386191082</v>
      </c>
      <c r="BV102" s="546">
        <f t="shared" si="158"/>
        <v>3.592592592592591E-2</v>
      </c>
      <c r="BW102" s="472">
        <f t="shared" si="171"/>
        <v>269.45199978783671</v>
      </c>
      <c r="BX102" s="179">
        <f t="shared" si="172"/>
        <v>0.84532028859968322</v>
      </c>
      <c r="BY102" s="6">
        <f t="shared" si="173"/>
        <v>4.8499999999999996</v>
      </c>
      <c r="BZ102" s="179">
        <f t="shared" si="174"/>
        <v>0.85157633885986017</v>
      </c>
      <c r="CA102" s="6">
        <f t="shared" si="175"/>
        <v>85.157633885986016</v>
      </c>
      <c r="CD102" s="581">
        <f t="shared" si="159"/>
        <v>-50</v>
      </c>
      <c r="CE102">
        <f t="shared" si="160"/>
        <v>-50</v>
      </c>
    </row>
    <row r="103" spans="5:83" x14ac:dyDescent="0.2">
      <c r="E103" s="176">
        <v>98</v>
      </c>
      <c r="F103" s="223">
        <f t="shared" si="188"/>
        <v>0.98</v>
      </c>
      <c r="G103" s="223"/>
      <c r="H103" s="223">
        <f t="shared" si="177"/>
        <v>4.9000000000000004</v>
      </c>
      <c r="I103" s="559">
        <f t="shared" si="114"/>
        <v>24</v>
      </c>
      <c r="J103" s="178">
        <f t="shared" si="115"/>
        <v>15.899999999999999</v>
      </c>
      <c r="K103" s="454">
        <f t="shared" si="116"/>
        <v>39.9</v>
      </c>
      <c r="L103" s="454"/>
      <c r="M103" s="223">
        <f t="shared" si="117"/>
        <v>0.39849624060150374</v>
      </c>
      <c r="N103" s="178">
        <f t="shared" si="118"/>
        <v>6.4556390977443598</v>
      </c>
      <c r="O103" s="178">
        <f t="shared" si="162"/>
        <v>4.9000000000000004</v>
      </c>
      <c r="P103" s="223">
        <f t="shared" si="178"/>
        <v>1.291127819548872</v>
      </c>
      <c r="Q103" s="223">
        <f t="shared" si="120"/>
        <v>5</v>
      </c>
      <c r="R103" s="223">
        <f t="shared" si="179"/>
        <v>1.4345864661654135</v>
      </c>
      <c r="S103" s="178">
        <f t="shared" si="122"/>
        <v>8.7945077803106546</v>
      </c>
      <c r="T103" s="550">
        <f t="shared" si="180"/>
        <v>5</v>
      </c>
      <c r="U103" s="550">
        <f t="shared" si="124"/>
        <v>1.1385394828791056</v>
      </c>
      <c r="V103" s="223">
        <f t="shared" si="181"/>
        <v>1.4231743535988819</v>
      </c>
      <c r="W103" s="223">
        <f t="shared" si="126"/>
        <v>2.1481877035454824</v>
      </c>
      <c r="X103" s="203">
        <f t="shared" si="127"/>
        <v>350</v>
      </c>
      <c r="Y103" s="454">
        <f t="shared" si="163"/>
        <v>280.00521481700258</v>
      </c>
      <c r="AA103" s="223">
        <f t="shared" si="128"/>
        <v>0.91084854994629427</v>
      </c>
      <c r="AB103" s="179">
        <f t="shared" si="182"/>
        <v>1.7185821697099894</v>
      </c>
      <c r="AC103" s="179">
        <f t="shared" si="183"/>
        <v>0.82181824055304764</v>
      </c>
      <c r="AD103" s="179"/>
      <c r="AE103" s="179">
        <f t="shared" si="131"/>
        <v>0.5660377358490567</v>
      </c>
      <c r="AF103" s="563">
        <f t="shared" si="176"/>
        <v>3847.4074074074069</v>
      </c>
      <c r="AG103" s="546">
        <f t="shared" si="132"/>
        <v>8.9150943396226423E-2</v>
      </c>
      <c r="AI103" s="179">
        <f t="shared" si="133"/>
        <v>1.0484556544075954</v>
      </c>
      <c r="AJ103" s="179">
        <f t="shared" si="184"/>
        <v>1.1385394828791056</v>
      </c>
      <c r="AK103" s="179">
        <f t="shared" si="185"/>
        <v>1.8211403576882264</v>
      </c>
      <c r="AM103" s="563">
        <f t="shared" si="136"/>
        <v>980</v>
      </c>
      <c r="AN103" s="472">
        <f t="shared" si="137"/>
        <v>280.00521481700258</v>
      </c>
      <c r="AP103">
        <f t="shared" si="138"/>
        <v>980</v>
      </c>
      <c r="AQ103">
        <f t="shared" si="139"/>
        <v>280.00521481700258</v>
      </c>
      <c r="AS103" s="6">
        <f t="shared" si="164"/>
        <v>3.5713620571443645</v>
      </c>
      <c r="AT103" s="6">
        <f t="shared" si="140"/>
        <v>1.4231743535988819</v>
      </c>
      <c r="AU103" s="6">
        <f t="shared" si="165"/>
        <v>2.1481877035454824</v>
      </c>
      <c r="AV103" s="6">
        <f t="shared" si="141"/>
        <v>2.1481877035454824</v>
      </c>
      <c r="AW103" s="179">
        <f t="shared" si="166"/>
        <v>0.39849624060150368</v>
      </c>
      <c r="AX103" s="179">
        <f t="shared" si="142"/>
        <v>5.4444444444444446</v>
      </c>
      <c r="AY103" s="179">
        <f t="shared" si="143"/>
        <v>1.0272536687631029</v>
      </c>
      <c r="AZ103" s="179">
        <f t="shared" si="167"/>
        <v>5.3</v>
      </c>
      <c r="BA103" s="472">
        <f t="shared" si="144"/>
        <v>27.894217330538083</v>
      </c>
      <c r="BB103" s="6">
        <f t="shared" si="145"/>
        <v>0.40610029889555793</v>
      </c>
      <c r="BC103" s="6"/>
      <c r="BD103" s="179">
        <f t="shared" si="168"/>
        <v>0.41495364407571661</v>
      </c>
      <c r="BE103" s="179">
        <f t="shared" si="146"/>
        <v>1.5294239836089973</v>
      </c>
      <c r="BF103" s="179"/>
      <c r="BG103" s="546">
        <f t="shared" si="147"/>
        <v>6.0265284356100769E-2</v>
      </c>
      <c r="BH103" s="546">
        <f t="shared" si="148"/>
        <v>9.5399999999999971E-2</v>
      </c>
      <c r="BI103" s="546">
        <f t="shared" si="149"/>
        <v>3.5000651852125321E-3</v>
      </c>
      <c r="BJ103" s="546">
        <f t="shared" si="150"/>
        <v>2.2288555102040815E-2</v>
      </c>
      <c r="BK103">
        <f t="shared" si="151"/>
        <v>6.96E-3</v>
      </c>
      <c r="BL103" s="546">
        <f t="shared" si="186"/>
        <v>0.20074158801977066</v>
      </c>
      <c r="BM103" s="472">
        <f t="shared" si="169"/>
        <v>200.74158801977066</v>
      </c>
      <c r="BN103" s="546">
        <f t="shared" si="153"/>
        <v>0.38024000000000002</v>
      </c>
      <c r="BO103" s="546"/>
      <c r="BQ103" s="472">
        <f t="shared" si="170"/>
        <v>380.24</v>
      </c>
      <c r="BR103" s="546">
        <f t="shared" si="154"/>
        <v>3.4437305346343303E-2</v>
      </c>
      <c r="BS103" s="546">
        <f t="shared" si="155"/>
        <v>9.3565508865536579E-2</v>
      </c>
      <c r="BT103" s="546">
        <f t="shared" si="156"/>
        <v>9.0730967801936152E-2</v>
      </c>
      <c r="BU103" s="546">
        <f t="shared" si="187"/>
        <v>0.23651609780932209</v>
      </c>
      <c r="BV103" s="546">
        <f t="shared" si="158"/>
        <v>3.6296296296296292E-2</v>
      </c>
      <c r="BW103" s="472">
        <f t="shared" si="171"/>
        <v>272.81239410561835</v>
      </c>
      <c r="BX103" s="179">
        <f t="shared" si="172"/>
        <v>0.85379398212538904</v>
      </c>
      <c r="BY103" s="6">
        <f t="shared" si="173"/>
        <v>4.9000000000000004</v>
      </c>
      <c r="BZ103" s="179">
        <f t="shared" si="174"/>
        <v>0.85161199987733893</v>
      </c>
      <c r="CA103" s="6">
        <f t="shared" si="175"/>
        <v>85.161199987733895</v>
      </c>
      <c r="CD103" s="581">
        <f t="shared" si="159"/>
        <v>-50</v>
      </c>
      <c r="CE103">
        <f t="shared" si="160"/>
        <v>-50</v>
      </c>
    </row>
    <row r="104" spans="5:83" x14ac:dyDescent="0.2">
      <c r="E104" s="176">
        <v>99</v>
      </c>
      <c r="F104" s="223">
        <f t="shared" si="188"/>
        <v>0.99</v>
      </c>
      <c r="G104" s="223"/>
      <c r="H104" s="223">
        <f t="shared" si="177"/>
        <v>4.95</v>
      </c>
      <c r="I104" s="559">
        <f t="shared" si="114"/>
        <v>24</v>
      </c>
      <c r="J104" s="178">
        <f t="shared" si="115"/>
        <v>15.899999999999999</v>
      </c>
      <c r="K104" s="454">
        <f t="shared" si="116"/>
        <v>39.9</v>
      </c>
      <c r="L104" s="454"/>
      <c r="M104" s="223">
        <f t="shared" si="117"/>
        <v>0.39849624060150374</v>
      </c>
      <c r="N104" s="178">
        <f t="shared" si="118"/>
        <v>6.4556390977443598</v>
      </c>
      <c r="O104" s="178">
        <f t="shared" si="162"/>
        <v>4.95</v>
      </c>
      <c r="P104" s="223">
        <f t="shared" si="178"/>
        <v>1.291127819548872</v>
      </c>
      <c r="Q104" s="223">
        <f t="shared" si="120"/>
        <v>5</v>
      </c>
      <c r="R104" s="223">
        <f t="shared" si="179"/>
        <v>1.4345864661654135</v>
      </c>
      <c r="S104" s="178">
        <f t="shared" si="122"/>
        <v>8.6323234541041067</v>
      </c>
      <c r="T104" s="550">
        <f t="shared" si="180"/>
        <v>5</v>
      </c>
      <c r="U104" s="550">
        <f t="shared" si="124"/>
        <v>1.1501572327044025</v>
      </c>
      <c r="V104" s="223">
        <f t="shared" si="181"/>
        <v>1.4376965408805031</v>
      </c>
      <c r="W104" s="223">
        <f t="shared" si="126"/>
        <v>2.1701079862347221</v>
      </c>
      <c r="X104" s="203">
        <f t="shared" si="127"/>
        <v>350</v>
      </c>
      <c r="Y104" s="454">
        <f t="shared" si="163"/>
        <v>277.17687931380055</v>
      </c>
      <c r="AA104" s="223">
        <f t="shared" si="128"/>
        <v>0.91084854994629427</v>
      </c>
      <c r="AB104" s="179">
        <f t="shared" si="182"/>
        <v>1.7185821697099894</v>
      </c>
      <c r="AC104" s="179">
        <f t="shared" si="183"/>
        <v>0.82181824055304764</v>
      </c>
      <c r="AD104" s="179"/>
      <c r="AE104" s="179">
        <f t="shared" si="131"/>
        <v>0.5660377358490567</v>
      </c>
      <c r="AF104" s="563">
        <f t="shared" ref="AF104:AF105" si="189">MAX(10000,F104/(0.5*AE104/1000000*Isw_min*Nps))/1000</f>
        <v>3886.6666666666661</v>
      </c>
      <c r="AG104" s="546">
        <f t="shared" si="132"/>
        <v>8.9150943396226423E-2</v>
      </c>
      <c r="AI104" s="179">
        <f t="shared" si="133"/>
        <v>1.0537913410520083</v>
      </c>
      <c r="AJ104" s="179">
        <f t="shared" si="184"/>
        <v>1.1501572327044025</v>
      </c>
      <c r="AK104" s="179">
        <f t="shared" si="185"/>
        <v>1.8297460982995573</v>
      </c>
      <c r="AM104" s="563">
        <f t="shared" si="136"/>
        <v>990</v>
      </c>
      <c r="AN104" s="472">
        <f t="shared" si="137"/>
        <v>277.17687931380055</v>
      </c>
      <c r="AP104">
        <f t="shared" si="138"/>
        <v>990</v>
      </c>
      <c r="AQ104">
        <f t="shared" si="139"/>
        <v>277.17687931380055</v>
      </c>
      <c r="AS104" s="6">
        <f t="shared" si="164"/>
        <v>3.6078045271152246</v>
      </c>
      <c r="AT104" s="6">
        <f t="shared" si="140"/>
        <v>1.4376965408805031</v>
      </c>
      <c r="AU104" s="6">
        <f t="shared" si="165"/>
        <v>2.1701079862347212</v>
      </c>
      <c r="AV104" s="6">
        <f t="shared" si="141"/>
        <v>2.1701079862347221</v>
      </c>
      <c r="AW104" s="179">
        <f t="shared" si="166"/>
        <v>0.39849624060150379</v>
      </c>
      <c r="AX104" s="179">
        <f t="shared" si="142"/>
        <v>5.5000000000000009</v>
      </c>
      <c r="AY104" s="179">
        <f t="shared" si="143"/>
        <v>1.0377358490566038</v>
      </c>
      <c r="AZ104" s="179">
        <f t="shared" si="167"/>
        <v>5.3000000000000007</v>
      </c>
      <c r="BA104" s="472">
        <f t="shared" si="144"/>
        <v>28.466391509433961</v>
      </c>
      <c r="BB104" s="6">
        <f t="shared" si="145"/>
        <v>0.41443034459343625</v>
      </c>
      <c r="BC104" s="6"/>
      <c r="BD104" s="179">
        <f t="shared" si="168"/>
        <v>0.41918786493363219</v>
      </c>
      <c r="BE104" s="179">
        <f t="shared" si="146"/>
        <v>1.5450303507886807</v>
      </c>
      <c r="BF104" s="179"/>
      <c r="BG104" s="546">
        <f t="shared" si="147"/>
        <v>6.1501463137665968E-2</v>
      </c>
      <c r="BH104" s="546">
        <f t="shared" si="148"/>
        <v>9.5399999999999985E-2</v>
      </c>
      <c r="BI104" s="546">
        <f t="shared" si="149"/>
        <v>3.4647109914225068E-3</v>
      </c>
      <c r="BJ104" s="546">
        <f t="shared" si="150"/>
        <v>2.2063418181818183E-2</v>
      </c>
      <c r="BK104">
        <f t="shared" si="151"/>
        <v>6.96E-3</v>
      </c>
      <c r="BL104" s="546">
        <f t="shared" si="186"/>
        <v>0.20199689558807021</v>
      </c>
      <c r="BM104" s="472">
        <f t="shared" si="169"/>
        <v>201.9968955880702</v>
      </c>
      <c r="BN104" s="546">
        <f t="shared" si="153"/>
        <v>0.38412000000000002</v>
      </c>
      <c r="BO104" s="546"/>
      <c r="BQ104" s="472">
        <f t="shared" si="170"/>
        <v>384.12</v>
      </c>
      <c r="BR104" s="546">
        <f t="shared" si="154"/>
        <v>3.5143693221523414E-2</v>
      </c>
      <c r="BS104" s="546">
        <f t="shared" si="155"/>
        <v>9.5484751394327744E-2</v>
      </c>
      <c r="BT104" s="546">
        <f t="shared" si="156"/>
        <v>9.0730967801936124E-2</v>
      </c>
      <c r="BU104" s="546">
        <f t="shared" si="187"/>
        <v>0.23953806455562485</v>
      </c>
      <c r="BV104" s="546">
        <f t="shared" si="158"/>
        <v>3.6666666666666667E-2</v>
      </c>
      <c r="BW104" s="472">
        <f t="shared" si="171"/>
        <v>276.20473122229151</v>
      </c>
      <c r="BX104" s="179">
        <f t="shared" si="172"/>
        <v>0.86232162681036173</v>
      </c>
      <c r="BY104" s="6">
        <f t="shared" si="173"/>
        <v>4.95</v>
      </c>
      <c r="BZ104" s="179">
        <f t="shared" si="174"/>
        <v>0.85163903820587794</v>
      </c>
      <c r="CA104" s="6">
        <f t="shared" si="175"/>
        <v>85.163903820587791</v>
      </c>
      <c r="CD104" s="581">
        <f t="shared" si="159"/>
        <v>-50</v>
      </c>
      <c r="CE104">
        <f t="shared" si="160"/>
        <v>-50</v>
      </c>
    </row>
    <row r="105" spans="5:83" x14ac:dyDescent="0.2">
      <c r="E105" s="176">
        <v>100</v>
      </c>
      <c r="F105" s="223">
        <f t="shared" si="188"/>
        <v>1</v>
      </c>
      <c r="G105" s="223"/>
      <c r="H105" s="223">
        <f t="shared" si="177"/>
        <v>5</v>
      </c>
      <c r="I105" s="559">
        <f t="shared" si="114"/>
        <v>24</v>
      </c>
      <c r="J105" s="178">
        <f t="shared" si="115"/>
        <v>15.899999999999999</v>
      </c>
      <c r="K105" s="454">
        <f t="shared" si="116"/>
        <v>39.9</v>
      </c>
      <c r="L105" s="454"/>
      <c r="M105" s="223">
        <f t="shared" si="117"/>
        <v>0.39849624060150374</v>
      </c>
      <c r="N105" s="178">
        <f t="shared" si="118"/>
        <v>6.4556390977443598</v>
      </c>
      <c r="O105" s="178">
        <f t="shared" si="162"/>
        <v>5</v>
      </c>
      <c r="P105" s="223">
        <f t="shared" si="178"/>
        <v>1.291127819548872</v>
      </c>
      <c r="Q105" s="223">
        <f t="shared" si="120"/>
        <v>5</v>
      </c>
      <c r="R105" s="223">
        <f t="shared" si="179"/>
        <v>1.4345864661654135</v>
      </c>
      <c r="S105" s="178">
        <f t="shared" si="122"/>
        <v>8.4735494912734186</v>
      </c>
      <c r="T105" s="550">
        <f t="shared" si="180"/>
        <v>5</v>
      </c>
      <c r="U105" s="550">
        <f t="shared" si="124"/>
        <v>1.1617749825296995</v>
      </c>
      <c r="V105" s="223">
        <f t="shared" si="181"/>
        <v>1.4522187281621242</v>
      </c>
      <c r="W105" s="223">
        <f t="shared" si="126"/>
        <v>2.1920282689239614</v>
      </c>
      <c r="X105" s="203">
        <f t="shared" si="127"/>
        <v>350</v>
      </c>
      <c r="Y105" s="454">
        <f t="shared" si="163"/>
        <v>274.40511052066256</v>
      </c>
      <c r="AA105" s="223">
        <f t="shared" si="128"/>
        <v>0.91084854994629427</v>
      </c>
      <c r="AB105" s="179">
        <f t="shared" si="182"/>
        <v>1.7185821697099894</v>
      </c>
      <c r="AC105" s="179">
        <f t="shared" si="183"/>
        <v>0.82181824055304764</v>
      </c>
      <c r="AD105" s="179"/>
      <c r="AE105" s="179">
        <f t="shared" si="131"/>
        <v>0.5660377358490567</v>
      </c>
      <c r="AF105" s="563">
        <f t="shared" si="189"/>
        <v>3925.9259259259252</v>
      </c>
      <c r="AG105" s="546">
        <f t="shared" si="132"/>
        <v>8.9150943396226423E-2</v>
      </c>
      <c r="AI105" s="179">
        <f t="shared" si="133"/>
        <v>1.0591001471499859</v>
      </c>
      <c r="AJ105" s="179">
        <f t="shared" si="184"/>
        <v>1.1617749825296995</v>
      </c>
      <c r="AK105" s="179">
        <f t="shared" si="185"/>
        <v>1.8383518389108884</v>
      </c>
      <c r="AM105" s="563">
        <f t="shared" si="136"/>
        <v>1000</v>
      </c>
      <c r="AN105" s="472">
        <f t="shared" si="137"/>
        <v>274.40511052066256</v>
      </c>
      <c r="AP105">
        <f t="shared" si="138"/>
        <v>1000</v>
      </c>
      <c r="AQ105" s="4">
        <f t="shared" si="139"/>
        <v>274.40511052066256</v>
      </c>
      <c r="AS105" s="6">
        <f t="shared" si="164"/>
        <v>3.644246997086086</v>
      </c>
      <c r="AT105" s="6">
        <f t="shared" si="140"/>
        <v>1.4522187281621242</v>
      </c>
      <c r="AU105" s="6">
        <f t="shared" si="165"/>
        <v>2.1920282689239619</v>
      </c>
      <c r="AV105" s="6">
        <f t="shared" si="141"/>
        <v>2.1920282689239614</v>
      </c>
      <c r="AW105" s="179">
        <f t="shared" si="166"/>
        <v>0.39849624060150368</v>
      </c>
      <c r="AX105" s="179">
        <f t="shared" si="142"/>
        <v>5.5555555555555545</v>
      </c>
      <c r="AY105" s="179">
        <f t="shared" si="143"/>
        <v>1.0482180293501049</v>
      </c>
      <c r="AZ105" s="179">
        <f t="shared" si="167"/>
        <v>5.2999999999999989</v>
      </c>
      <c r="BA105" s="472">
        <f t="shared" si="144"/>
        <v>29.044374563242481</v>
      </c>
      <c r="BB105" s="6">
        <f t="shared" si="145"/>
        <v>0.42284495928317162</v>
      </c>
      <c r="BC105" s="6"/>
      <c r="BD105" s="179">
        <f t="shared" si="168"/>
        <v>0.42342208579154755</v>
      </c>
      <c r="BE105" s="179">
        <f t="shared" si="146"/>
        <v>1.5606367179683645</v>
      </c>
      <c r="BF105" s="179"/>
      <c r="BG105" s="546">
        <f t="shared" si="147"/>
        <v>6.2750191957622631E-2</v>
      </c>
      <c r="BH105" s="546">
        <f t="shared" si="148"/>
        <v>9.5399999999999971E-2</v>
      </c>
      <c r="BI105" s="546">
        <f t="shared" si="149"/>
        <v>3.4300638815082819E-3</v>
      </c>
      <c r="BJ105" s="546">
        <f t="shared" si="150"/>
        <v>2.1842784000000001E-2</v>
      </c>
      <c r="BK105">
        <f t="shared" si="151"/>
        <v>6.96E-3</v>
      </c>
      <c r="BL105" s="546">
        <f t="shared" si="186"/>
        <v>0.20327409245687217</v>
      </c>
      <c r="BM105" s="472">
        <f t="shared" si="169"/>
        <v>203.27409245687218</v>
      </c>
      <c r="BN105" s="546">
        <f t="shared" si="153"/>
        <v>0.38800000000000001</v>
      </c>
      <c r="BO105" s="546"/>
      <c r="BQ105" s="472">
        <f t="shared" si="170"/>
        <v>388</v>
      </c>
      <c r="BR105" s="546">
        <f t="shared" si="154"/>
        <v>3.5857252547212934E-2</v>
      </c>
      <c r="BS105" s="546">
        <f t="shared" si="155"/>
        <v>9.7423478618842735E-2</v>
      </c>
      <c r="BT105" s="546">
        <f t="shared" si="156"/>
        <v>9.0730967801936263E-2</v>
      </c>
      <c r="BU105" s="546">
        <f t="shared" si="187"/>
        <v>0.24259201398786651</v>
      </c>
      <c r="BV105" s="546">
        <f t="shared" si="158"/>
        <v>3.7037037037037035E-2</v>
      </c>
      <c r="BW105" s="472">
        <f t="shared" si="171"/>
        <v>279.62905102490356</v>
      </c>
      <c r="BX105" s="179">
        <f t="shared" si="172"/>
        <v>0.87090314348177578</v>
      </c>
      <c r="BY105" s="6">
        <f t="shared" si="173"/>
        <v>5</v>
      </c>
      <c r="BZ105" s="179">
        <f t="shared" si="174"/>
        <v>0.8516577224666525</v>
      </c>
      <c r="CA105" s="6">
        <f t="shared" si="175"/>
        <v>85.165772246665256</v>
      </c>
      <c r="CD105" s="581">
        <f t="shared" si="159"/>
        <v>-50</v>
      </c>
      <c r="CE105">
        <f t="shared" si="160"/>
        <v>-50</v>
      </c>
    </row>
    <row r="106" spans="5:83" x14ac:dyDescent="0.2">
      <c r="E106" s="176"/>
      <c r="F106" s="223"/>
      <c r="G106" s="223"/>
      <c r="H106" s="223"/>
      <c r="I106" s="559"/>
      <c r="J106" s="454"/>
      <c r="K106" s="454"/>
      <c r="L106" s="454"/>
      <c r="M106" s="223"/>
      <c r="N106" s="178"/>
      <c r="O106" s="178"/>
      <c r="P106" s="223"/>
      <c r="Q106" s="223"/>
      <c r="R106" s="223"/>
      <c r="S106" s="178"/>
      <c r="T106" s="178"/>
      <c r="U106" s="223"/>
      <c r="V106" s="223"/>
      <c r="W106" s="223"/>
      <c r="X106" s="203"/>
      <c r="Y106" s="454"/>
      <c r="AA106" s="223"/>
      <c r="AB106" s="179"/>
      <c r="AC106" s="179"/>
      <c r="AD106" s="179"/>
      <c r="AE106" s="179"/>
      <c r="AF106" s="563"/>
      <c r="AI106" s="179"/>
      <c r="AJ106" s="179"/>
      <c r="AK106" s="179"/>
      <c r="AM106" s="563"/>
      <c r="AN106" s="472"/>
      <c r="AQ106" s="4"/>
      <c r="AS106" s="6"/>
      <c r="AT106" s="6"/>
      <c r="AU106" s="6"/>
      <c r="AV106" s="6"/>
      <c r="AW106" s="179"/>
      <c r="AX106" s="179"/>
      <c r="AY106" s="179"/>
      <c r="AZ106" s="179"/>
      <c r="BA106" s="472"/>
      <c r="BB106" s="6"/>
      <c r="BC106" s="6"/>
      <c r="BD106" s="179"/>
      <c r="BE106" s="179"/>
      <c r="BF106" s="179"/>
      <c r="BG106" s="546"/>
      <c r="BH106" s="546"/>
      <c r="BI106" s="546"/>
      <c r="BJ106" s="546"/>
      <c r="BM106" s="472"/>
      <c r="BN106" s="546"/>
      <c r="BO106" s="546"/>
      <c r="BQ106" s="472"/>
      <c r="BR106" s="546"/>
      <c r="BS106" s="546"/>
      <c r="BT106" s="546"/>
      <c r="BU106" s="546"/>
      <c r="BV106" s="546"/>
      <c r="BW106" s="472"/>
      <c r="BX106" s="179"/>
      <c r="BY106" s="6"/>
      <c r="BZ106" s="179"/>
      <c r="CA106" s="6"/>
      <c r="CD106" s="581"/>
    </row>
    <row r="107" spans="5:83" x14ac:dyDescent="0.2">
      <c r="H107" s="223"/>
      <c r="I107" s="559"/>
      <c r="J107" s="454"/>
      <c r="K107" s="454"/>
      <c r="L107" s="454"/>
      <c r="M107" s="223"/>
      <c r="N107" s="178"/>
      <c r="O107" s="178"/>
      <c r="P107" s="223"/>
      <c r="Q107" s="223"/>
      <c r="R107" s="223"/>
      <c r="S107" s="178"/>
      <c r="T107" s="178"/>
      <c r="U107" s="223"/>
      <c r="V107" s="223"/>
      <c r="W107" s="223"/>
      <c r="X107" s="203"/>
      <c r="Y107" s="454"/>
      <c r="AA107" s="223"/>
      <c r="AB107" s="179"/>
      <c r="AC107" s="179"/>
      <c r="AD107" s="179"/>
      <c r="AE107" s="179"/>
      <c r="AF107" s="563"/>
      <c r="AI107" s="179"/>
      <c r="AJ107" s="179"/>
      <c r="AK107" s="179"/>
      <c r="AM107" s="563"/>
      <c r="AN107" s="472"/>
      <c r="AS107" s="6"/>
      <c r="AT107" s="6"/>
      <c r="AU107" s="6"/>
      <c r="AV107" s="6"/>
      <c r="AW107" s="179"/>
      <c r="AX107" s="179"/>
      <c r="AY107" s="179"/>
      <c r="AZ107" s="179"/>
      <c r="BA107" s="472"/>
      <c r="BB107" s="6"/>
      <c r="BD107" s="179"/>
      <c r="BE107" s="179"/>
      <c r="BG107" s="546"/>
      <c r="BH107" s="546"/>
      <c r="BI107" s="546"/>
      <c r="BJ107" s="546"/>
      <c r="BM107" s="472"/>
      <c r="BN107" s="546"/>
      <c r="BQ107" s="472"/>
      <c r="BR107" s="546"/>
      <c r="BS107" s="546"/>
      <c r="BT107" s="546"/>
      <c r="BU107" s="546"/>
      <c r="BV107" s="546"/>
      <c r="BW107" s="472"/>
      <c r="BX107" s="179"/>
      <c r="BY107" s="6"/>
      <c r="BZ107" s="179"/>
      <c r="CA107" s="6"/>
      <c r="CD107" s="581"/>
    </row>
    <row r="108" spans="5:83" x14ac:dyDescent="0.2">
      <c r="E108" s="456" t="s">
        <v>447</v>
      </c>
      <c r="H108" s="223"/>
      <c r="I108" s="559"/>
      <c r="J108" s="454"/>
      <c r="K108" s="454"/>
      <c r="L108" s="454"/>
      <c r="M108" s="223"/>
      <c r="N108" s="178"/>
      <c r="O108" s="178"/>
      <c r="P108" s="223"/>
      <c r="Q108" s="223"/>
      <c r="R108" s="223"/>
      <c r="S108" s="178"/>
      <c r="T108" s="178"/>
      <c r="U108" s="223"/>
      <c r="V108" s="223"/>
      <c r="W108" s="223"/>
      <c r="X108" s="203"/>
      <c r="Y108" s="454"/>
      <c r="AA108" s="223"/>
      <c r="AB108" s="179"/>
      <c r="AC108" s="179"/>
      <c r="AD108" s="179"/>
      <c r="AE108" s="179"/>
      <c r="AF108" s="563"/>
      <c r="AI108" s="179"/>
      <c r="AJ108" s="179"/>
      <c r="AK108" s="179"/>
      <c r="AM108" s="563"/>
      <c r="AN108" s="472"/>
      <c r="AS108" s="6"/>
      <c r="AT108" s="6"/>
      <c r="AU108" s="6"/>
      <c r="AV108" s="6"/>
      <c r="AW108" s="179"/>
      <c r="AX108" s="179"/>
      <c r="AY108" s="179"/>
      <c r="AZ108" s="179"/>
      <c r="BA108" s="472"/>
      <c r="BB108" s="6"/>
      <c r="BD108" s="179"/>
      <c r="BE108" s="179"/>
      <c r="BG108" s="546"/>
      <c r="BH108" s="546"/>
      <c r="BI108" s="546"/>
      <c r="BJ108" s="546"/>
      <c r="BM108" s="472"/>
      <c r="BN108" s="546"/>
      <c r="BQ108" s="472"/>
      <c r="BR108" s="546"/>
      <c r="BS108" s="546"/>
      <c r="BT108" s="546"/>
      <c r="BU108" s="546"/>
      <c r="BV108" s="546"/>
      <c r="BW108" s="472"/>
      <c r="BX108" s="179"/>
      <c r="BY108" s="6"/>
      <c r="BZ108" s="179"/>
      <c r="CA108" s="6"/>
      <c r="CD108" s="581"/>
    </row>
    <row r="109" spans="5:83" ht="45" customHeight="1" thickBot="1" x14ac:dyDescent="0.25">
      <c r="E109" s="247" t="s">
        <v>25</v>
      </c>
      <c r="F109" s="455" t="s">
        <v>195</v>
      </c>
      <c r="G109" s="266"/>
      <c r="H109" s="545" t="s">
        <v>224</v>
      </c>
      <c r="I109" s="248" t="s">
        <v>425</v>
      </c>
      <c r="J109" s="249" t="s">
        <v>431</v>
      </c>
      <c r="K109" s="545" t="s">
        <v>426</v>
      </c>
      <c r="L109" s="545"/>
      <c r="M109" s="250" t="s">
        <v>48</v>
      </c>
      <c r="N109" s="545" t="s">
        <v>415</v>
      </c>
      <c r="O109" s="545" t="s">
        <v>685</v>
      </c>
      <c r="P109" s="545" t="s">
        <v>416</v>
      </c>
      <c r="Q109" s="545" t="s">
        <v>446</v>
      </c>
      <c r="R109" s="545" t="s">
        <v>683</v>
      </c>
      <c r="S109" s="545" t="s">
        <v>686</v>
      </c>
      <c r="T109" s="545" t="s">
        <v>684</v>
      </c>
      <c r="U109" s="545" t="s">
        <v>427</v>
      </c>
      <c r="V109" s="545" t="s">
        <v>479</v>
      </c>
      <c r="W109" s="545" t="s">
        <v>478</v>
      </c>
      <c r="X109" s="565" t="s">
        <v>433</v>
      </c>
      <c r="Y109" s="560" t="s">
        <v>438</v>
      </c>
      <c r="AA109" s="251" t="s">
        <v>430</v>
      </c>
      <c r="AB109" s="251" t="s">
        <v>477</v>
      </c>
      <c r="AC109" s="251" t="s">
        <v>436</v>
      </c>
      <c r="AD109" s="562"/>
      <c r="AE109" s="251" t="s">
        <v>476</v>
      </c>
      <c r="AF109" s="251" t="s">
        <v>439</v>
      </c>
      <c r="AG109" s="251" t="s">
        <v>440</v>
      </c>
      <c r="AH109" s="562"/>
      <c r="AI109" s="251" t="s">
        <v>442</v>
      </c>
      <c r="AJ109" s="566" t="s">
        <v>443</v>
      </c>
      <c r="AK109" s="566" t="s">
        <v>444</v>
      </c>
      <c r="AM109" s="561" t="s">
        <v>276</v>
      </c>
      <c r="AN109" s="561" t="s">
        <v>445</v>
      </c>
      <c r="AP109" s="251" t="s">
        <v>276</v>
      </c>
      <c r="AQ109" s="251" t="s">
        <v>445</v>
      </c>
      <c r="AR109" s="567"/>
      <c r="AS109" s="251" t="s">
        <v>480</v>
      </c>
      <c r="AT109" s="6"/>
      <c r="AU109" s="6"/>
      <c r="AV109" s="6"/>
      <c r="AW109" s="179"/>
      <c r="AX109" s="179"/>
      <c r="AY109" s="179"/>
      <c r="AZ109" s="179"/>
      <c r="BA109" s="251" t="s">
        <v>495</v>
      </c>
      <c r="BB109" s="251" t="s">
        <v>531</v>
      </c>
      <c r="BC109" s="562"/>
      <c r="BD109" s="576" t="s">
        <v>469</v>
      </c>
      <c r="BE109" s="251" t="s">
        <v>470</v>
      </c>
      <c r="BF109" s="562"/>
      <c r="BG109" s="576" t="s">
        <v>487</v>
      </c>
      <c r="BH109" s="251" t="s">
        <v>488</v>
      </c>
      <c r="BI109" s="251" t="s">
        <v>486</v>
      </c>
      <c r="BJ109" s="251" t="s">
        <v>482</v>
      </c>
      <c r="BK109" s="251" t="s">
        <v>491</v>
      </c>
      <c r="BL109" s="251"/>
      <c r="BM109" s="251" t="s">
        <v>506</v>
      </c>
      <c r="BN109" s="576" t="s">
        <v>489</v>
      </c>
      <c r="BO109" s="251" t="s">
        <v>490</v>
      </c>
      <c r="BP109" s="251" t="s">
        <v>498</v>
      </c>
      <c r="BQ109" s="251" t="s">
        <v>502</v>
      </c>
      <c r="BR109" s="576" t="s">
        <v>471</v>
      </c>
      <c r="BS109" s="251" t="s">
        <v>472</v>
      </c>
      <c r="BT109" s="251" t="s">
        <v>481</v>
      </c>
      <c r="BU109" s="251"/>
      <c r="BV109" s="251" t="s">
        <v>499</v>
      </c>
      <c r="BW109" s="251" t="s">
        <v>501</v>
      </c>
      <c r="BX109" s="576" t="s">
        <v>497</v>
      </c>
      <c r="BY109" s="251" t="s">
        <v>224</v>
      </c>
      <c r="BZ109" s="251" t="s">
        <v>47</v>
      </c>
      <c r="CA109" s="251" t="s">
        <v>500</v>
      </c>
      <c r="CB109" s="251"/>
      <c r="CD109" s="581"/>
    </row>
    <row r="110" spans="5:83" x14ac:dyDescent="0.2">
      <c r="E110" s="176">
        <v>0.1</v>
      </c>
      <c r="F110" s="223">
        <v>1.0000000000000001E-9</v>
      </c>
      <c r="G110" s="223"/>
      <c r="H110" s="223">
        <f t="shared" ref="H110:H141" si="190">F110*Vout</f>
        <v>5.0000000000000001E-9</v>
      </c>
      <c r="I110" s="559">
        <f t="shared" ref="I110:I141" si="191">VIN_min</f>
        <v>12</v>
      </c>
      <c r="J110" s="454">
        <f t="shared" ref="J110:J141" si="192">(T110+Vfwd1)*Nps</f>
        <v>15.899999999999999</v>
      </c>
      <c r="K110" s="454">
        <f t="shared" ref="K110:K141" si="193">(Vout+Vfwd1)*Nps+I110</f>
        <v>27.9</v>
      </c>
      <c r="L110" s="454"/>
      <c r="M110" s="223">
        <f t="shared" ref="M110:M141" si="194">(Vout+Vfwd1)*Nps/((Vout+Vfwd1)*Nps+I110)</f>
        <v>0.56989247311827951</v>
      </c>
      <c r="N110" s="178">
        <f>M110*I110*Isw_max*0.82*0.5*Efficiency</f>
        <v>3.7852258064516122</v>
      </c>
      <c r="O110" s="178">
        <f t="shared" si="162"/>
        <v>5.0000000000000001E-9</v>
      </c>
      <c r="P110" s="223">
        <f t="shared" ref="P110:P141" si="195">N110/Vout</f>
        <v>0.7570451612903224</v>
      </c>
      <c r="Q110" s="223">
        <f t="shared" ref="Q110:Q141" si="196">MIN(Vout,N110/F110)</f>
        <v>5</v>
      </c>
      <c r="R110" s="223"/>
      <c r="S110" s="178">
        <f t="shared" ref="S110:S141" si="197">(SQRT(Isw_max^2*Nps^2*I110^2+4*Isw_max*F110/Efficiency*(Nps^2*Vfwd1*I110-Nps*I110^2)+4*(F110/Efficiency)^2*Nps^2*Vfwd1^2+8*(F110/Efficiency)^2*Nps*Vfwd1*I110+4*(F110/Efficiency)^2*I110^2)-2*F110/Efficiency*I110-2*F110/Efficiency*Nps*Vfwd1+Isw_max*Nps*I110)/(4*F110/Efficiency*Nps)</f>
        <v>8099999995.999999</v>
      </c>
      <c r="T110" s="178">
        <f t="shared" ref="T110:T141" si="198">MIN(Vout, S110)</f>
        <v>5</v>
      </c>
      <c r="U110" s="223">
        <f t="shared" ref="U110:U141" si="199">MIN(2*Vout*F110/(Efficiency*I110*M110), Isw_max)</f>
        <v>1.6247379454926627E-9</v>
      </c>
      <c r="V110" s="223">
        <f t="shared" ref="V110:V141" si="200">L*U110/I110*1000000</f>
        <v>4.0618448637316568E-9</v>
      </c>
      <c r="W110" s="223">
        <f t="shared" ref="W110:W141" si="201">L*U110/J110*1000000</f>
        <v>3.0655432933823826E-9</v>
      </c>
      <c r="X110" s="203">
        <f t="shared" ref="X110:X141" si="202">IF(1/((350000*L)*(1/I110+1/J110))&gt;Isw_min, 350, 0.001/((Isw_min*L)*(1/I110+1/J110)))</f>
        <v>350</v>
      </c>
      <c r="Y110" s="454">
        <f t="shared" ref="Y110:Y169" si="203">MIN(1/(V110+W110)*1000, 350)</f>
        <v>350</v>
      </c>
      <c r="AA110" s="223">
        <f t="shared" ref="AA110:AA141" si="204">1/((X110*1000*L)*(1/I110+1/J110))</f>
        <v>0.65130568356374818</v>
      </c>
      <c r="AB110" s="179">
        <f t="shared" ref="AB110:AB141" si="205">L*AA110/J110*1000000</f>
        <v>1.2288786482334872</v>
      </c>
      <c r="AC110" s="179">
        <f t="shared" ref="AC110:AC141" si="206">0.5*AB110*AA110*Nps*X110/1000</f>
        <v>0.42019721520241832</v>
      </c>
      <c r="AD110" s="179"/>
      <c r="AE110" s="179">
        <f t="shared" ref="AE110:AE141" si="207">L*Isw_min/J110*1000000</f>
        <v>0.5660377358490567</v>
      </c>
      <c r="AF110" s="563">
        <f t="shared" ref="AF110:AF141" si="208">MAX(10000,F110/(0.5*AE110/1000000*Isw_min*Nps))/1000</f>
        <v>10</v>
      </c>
      <c r="AG110" s="546">
        <f t="shared" ref="AG110:AG141" si="209">0.5*AE110/1000000*Isw_min*Nps*X110*1000</f>
        <v>8.9150943396226423E-2</v>
      </c>
      <c r="AI110" s="179">
        <f t="shared" ref="AI110:AI141" si="210">SQRT(F110/(0.5*L/J110*Fsw_DCM*Nps))</f>
        <v>3.1773004414499577E-5</v>
      </c>
      <c r="AJ110" s="179">
        <f t="shared" ref="AJ110:AJ141" si="211">MAX(IF(F110&gt;AC110,U110,AI110),Isw_min)</f>
        <v>0.3</v>
      </c>
      <c r="AK110" s="179">
        <f t="shared" ref="AK110:AK141" si="212">IF(F110&gt;AG110, (AJ110-Isw_min)/1.08*0.8+1.2, AF110*0.2/350+1)</f>
        <v>1.0057142857142858</v>
      </c>
      <c r="AM110" s="563">
        <f t="shared" ref="AM110:AM141" si="213">F110*1000</f>
        <v>1.0000000000000002E-6</v>
      </c>
      <c r="AN110" s="472">
        <f t="shared" ref="AN110:AN141" si="214">IF(F110&gt;AG110, Y110, AF110)</f>
        <v>10</v>
      </c>
      <c r="AP110" s="472">
        <f t="shared" ref="AP110:AP141" si="215">IF(H110&gt;N110, "",AM110)</f>
        <v>1.0000000000000002E-6</v>
      </c>
      <c r="AQ110" s="472">
        <f t="shared" ref="AQ110:AQ141" si="216">IF(H110&gt;N110, "",AN110)</f>
        <v>10</v>
      </c>
      <c r="AS110" s="6">
        <f t="shared" si="164"/>
        <v>100</v>
      </c>
      <c r="AT110" s="6">
        <f t="shared" ref="AT110:AT141" si="217">L*AJ110/I110*1000000</f>
        <v>0.75</v>
      </c>
      <c r="AU110" s="6">
        <f t="shared" ref="AU110:AU169" si="218">AS110-AT110</f>
        <v>99.25</v>
      </c>
      <c r="AV110" s="6"/>
      <c r="AW110" s="179">
        <f t="shared" ref="AW110:AW169" si="219">AT110/AS110</f>
        <v>7.4999999999999997E-3</v>
      </c>
      <c r="AX110" s="179">
        <f t="shared" si="142"/>
        <v>1.35E-2</v>
      </c>
      <c r="AY110" s="179">
        <f t="shared" si="143"/>
        <v>0.44662499999999999</v>
      </c>
      <c r="AZ110" s="179">
        <f t="shared" si="167"/>
        <v>3.0226700251889168E-2</v>
      </c>
      <c r="BA110" s="472">
        <f t="shared" ref="BA110:BA116" si="220">F110*AT110/Vout_ripple*1000</f>
        <v>1.5000000000000002E-8</v>
      </c>
      <c r="BB110" s="6">
        <f t="shared" ref="BB110:BB116" si="221">H110/Efficiency/I110*AU110/Vinripple1</f>
        <v>3.8290895061728391E-8</v>
      </c>
      <c r="BD110" s="179">
        <f t="shared" si="168"/>
        <v>1.4999999999999999E-2</v>
      </c>
      <c r="BE110" s="179">
        <f t="shared" si="146"/>
        <v>0.51766301780212187</v>
      </c>
      <c r="BG110" s="546">
        <f t="shared" ref="BG110:BG169" si="222">Rdson*BD110^2</f>
        <v>7.874999999999999E-5</v>
      </c>
      <c r="BH110" s="546">
        <f t="shared" ref="BH110:BH169" si="223">0.5*K110*AJ110*AN110*1000*Trise</f>
        <v>6.2774999999999984E-4</v>
      </c>
      <c r="BI110" s="546">
        <f t="shared" ref="BI110:BI169" si="224">Qg*Vdd*AN110*1000</f>
        <v>1.25E-4</v>
      </c>
      <c r="BJ110" s="546">
        <f t="shared" ref="BJ110:BJ169" si="225">0.5*(Coss+Csw)*K110^2*AN110*1000</f>
        <v>3.89205E-4</v>
      </c>
      <c r="BK110">
        <f t="shared" ref="BK110:BK169" si="226">I110*IQ</f>
        <v>3.48E-3</v>
      </c>
      <c r="BM110" s="472">
        <f t="shared" ref="BM110:BM169" si="227">SUM(BG110:BK110)*1000</f>
        <v>4.7007049999999992</v>
      </c>
      <c r="BN110" s="546">
        <f t="shared" ref="BN110:BN169" si="228">Vfwd2*F110</f>
        <v>4.0000000000000007E-10</v>
      </c>
      <c r="BQ110" s="472">
        <f t="shared" ref="BQ110:BQ169" si="229">SUM(BN110:BP110)*1000</f>
        <v>4.0000000000000009E-7</v>
      </c>
      <c r="BR110" s="546">
        <f t="shared" ref="BR110:BR169" si="230">Rdcr_pri*BD110^2</f>
        <v>4.5000000000000003E-5</v>
      </c>
      <c r="BS110" s="546">
        <f t="shared" ref="BS110:BS169" si="231">Rdcr_sec*BE110^2</f>
        <v>1.0718999999999999E-2</v>
      </c>
      <c r="BT110" s="546">
        <f t="shared" ref="BT110:BT169" si="232">AJ110^2.5*AN110^2.5*k_core</f>
        <v>7.7942286340599532E-7</v>
      </c>
      <c r="BU110" s="546"/>
      <c r="BV110" s="546">
        <f t="shared" ref="BV110:BV169" si="233">0.5*Lleak*0.000000001*AJ110^2*AN110*1000</f>
        <v>9.0000000000000006E-5</v>
      </c>
      <c r="BW110" s="472">
        <f t="shared" ref="BW110:BW169" si="234">SUM(BR110:BV110)*1000</f>
        <v>10.854779422863405</v>
      </c>
      <c r="BX110" s="179">
        <f t="shared" ref="BX110:BX169" si="235">SUM(BG110:BK110,BN110:BP110,BR110:BV110)</f>
        <v>1.5555484822863406E-2</v>
      </c>
      <c r="BY110" s="6">
        <f t="shared" ref="BY110:BY169" si="236">MIN(H110,O110)</f>
        <v>5.0000000000000001E-9</v>
      </c>
      <c r="BZ110" s="179">
        <f t="shared" ref="BZ110:BZ169" si="237">BY110/(BY110+BX110)</f>
        <v>3.2142992968636816E-7</v>
      </c>
      <c r="CA110" s="6">
        <f t="shared" ref="CA110:CA169" si="238">BZ110*100</f>
        <v>3.2142992968636817E-5</v>
      </c>
      <c r="CD110" s="581">
        <f t="shared" ref="CD110:CD141" si="239">IF(ABS(F110-Ioutmax_Vinmin)&lt;Iout/200, AN110, -50)</f>
        <v>-50</v>
      </c>
      <c r="CE110">
        <f t="shared" ref="CE110:CE141" si="240">IF(ABS(F110-Ioutmax_Vinmin)&lt;Iout/200, N110*BZ110, -50)</f>
        <v>-50</v>
      </c>
    </row>
    <row r="111" spans="5:83" x14ac:dyDescent="0.2">
      <c r="E111" s="176">
        <v>1</v>
      </c>
      <c r="F111" s="223">
        <f t="shared" ref="F111:F142" si="241">IF(PLOT_TYPE=1, E111/100*Iout_max, min_I*EXP(N111*rr/100))</f>
        <v>0.01</v>
      </c>
      <c r="G111" s="223"/>
      <c r="H111" s="223">
        <f t="shared" si="190"/>
        <v>0.05</v>
      </c>
      <c r="I111" s="559">
        <f t="shared" si="191"/>
        <v>12</v>
      </c>
      <c r="J111" s="454">
        <f t="shared" si="192"/>
        <v>15.899999999999999</v>
      </c>
      <c r="K111" s="454">
        <f t="shared" si="193"/>
        <v>27.9</v>
      </c>
      <c r="L111" s="454"/>
      <c r="M111" s="223">
        <f t="shared" si="194"/>
        <v>0.56989247311827951</v>
      </c>
      <c r="N111" s="178">
        <f t="shared" ref="N111:N141" si="242">M111*I111*Isw_max*0.5*Efficiency</f>
        <v>4.6161290322580646</v>
      </c>
      <c r="O111" s="178">
        <f t="shared" si="162"/>
        <v>0.05</v>
      </c>
      <c r="P111" s="223">
        <f t="shared" si="195"/>
        <v>0.9232258064516129</v>
      </c>
      <c r="Q111" s="223">
        <f t="shared" si="196"/>
        <v>5</v>
      </c>
      <c r="R111" s="223"/>
      <c r="S111" s="178">
        <f t="shared" si="197"/>
        <v>806.00148827704959</v>
      </c>
      <c r="T111" s="178">
        <f t="shared" si="198"/>
        <v>5</v>
      </c>
      <c r="U111" s="223">
        <f t="shared" si="199"/>
        <v>1.6247379454926627E-2</v>
      </c>
      <c r="V111" s="223">
        <f t="shared" si="200"/>
        <v>4.0618448637316569E-2</v>
      </c>
      <c r="W111" s="223">
        <f t="shared" si="201"/>
        <v>3.0655432933823824E-2</v>
      </c>
      <c r="X111" s="203">
        <f t="shared" si="202"/>
        <v>350</v>
      </c>
      <c r="Y111" s="454">
        <f t="shared" si="203"/>
        <v>350</v>
      </c>
      <c r="AA111" s="223">
        <f t="shared" si="204"/>
        <v>0.65130568356374818</v>
      </c>
      <c r="AB111" s="179">
        <f t="shared" si="205"/>
        <v>1.2288786482334872</v>
      </c>
      <c r="AC111" s="179">
        <f t="shared" si="206"/>
        <v>0.42019721520241832</v>
      </c>
      <c r="AD111" s="179"/>
      <c r="AE111" s="179">
        <f t="shared" si="207"/>
        <v>0.5660377358490567</v>
      </c>
      <c r="AF111" s="563">
        <f t="shared" si="208"/>
        <v>39.259259259259252</v>
      </c>
      <c r="AG111" s="546">
        <f t="shared" si="209"/>
        <v>8.9150943396226423E-2</v>
      </c>
      <c r="AI111" s="179">
        <f t="shared" si="210"/>
        <v>0.1004750620564033</v>
      </c>
      <c r="AJ111" s="179">
        <f t="shared" si="211"/>
        <v>0.3</v>
      </c>
      <c r="AK111" s="179">
        <f t="shared" si="212"/>
        <v>1.0224338624338625</v>
      </c>
      <c r="AM111" s="563">
        <f t="shared" si="213"/>
        <v>10</v>
      </c>
      <c r="AN111" s="472">
        <f t="shared" si="214"/>
        <v>39.259259259259252</v>
      </c>
      <c r="AP111" s="472">
        <f t="shared" si="215"/>
        <v>10</v>
      </c>
      <c r="AQ111" s="472">
        <f t="shared" si="216"/>
        <v>39.259259259259252</v>
      </c>
      <c r="AS111" s="6">
        <f t="shared" si="164"/>
        <v>25.471698113207552</v>
      </c>
      <c r="AT111" s="6">
        <f t="shared" si="217"/>
        <v>0.75</v>
      </c>
      <c r="AU111" s="6">
        <f t="shared" si="218"/>
        <v>24.721698113207552</v>
      </c>
      <c r="AV111" s="6"/>
      <c r="AW111" s="179">
        <f t="shared" si="219"/>
        <v>2.944444444444444E-2</v>
      </c>
      <c r="AX111" s="179">
        <f t="shared" si="142"/>
        <v>5.2999999999999985E-2</v>
      </c>
      <c r="AY111" s="179">
        <f t="shared" si="143"/>
        <v>0.43674999999999997</v>
      </c>
      <c r="AZ111" s="179">
        <f t="shared" si="167"/>
        <v>0.12135088723526041</v>
      </c>
      <c r="BA111" s="472">
        <f t="shared" si="220"/>
        <v>0.15</v>
      </c>
      <c r="BB111" s="6">
        <f t="shared" si="221"/>
        <v>9.5376921733053829E-2</v>
      </c>
      <c r="BD111" s="179">
        <f t="shared" si="168"/>
        <v>2.9720924166878344E-2</v>
      </c>
      <c r="BE111" s="179">
        <f t="shared" si="146"/>
        <v>0.51190819489435802</v>
      </c>
      <c r="BG111" s="546">
        <f t="shared" si="222"/>
        <v>3.0916666666666657E-4</v>
      </c>
      <c r="BH111" s="546">
        <f t="shared" si="223"/>
        <v>2.4644999999999988E-3</v>
      </c>
      <c r="BI111" s="546">
        <f t="shared" si="224"/>
        <v>4.907407407407407E-4</v>
      </c>
      <c r="BJ111" s="546">
        <f t="shared" si="225"/>
        <v>1.5279899999999997E-3</v>
      </c>
      <c r="BK111">
        <f t="shared" si="226"/>
        <v>3.48E-3</v>
      </c>
      <c r="BM111" s="472">
        <f t="shared" si="227"/>
        <v>8.2723974074074054</v>
      </c>
      <c r="BN111" s="546">
        <f t="shared" si="228"/>
        <v>4.0000000000000001E-3</v>
      </c>
      <c r="BQ111" s="472">
        <f t="shared" si="229"/>
        <v>4</v>
      </c>
      <c r="BR111" s="546">
        <f t="shared" si="230"/>
        <v>1.7666666666666666E-4</v>
      </c>
      <c r="BS111" s="546">
        <f t="shared" si="231"/>
        <v>1.0482E-2</v>
      </c>
      <c r="BT111" s="546">
        <f t="shared" si="232"/>
        <v>2.3802818984388882E-5</v>
      </c>
      <c r="BU111" s="546"/>
      <c r="BV111" s="546">
        <f t="shared" si="233"/>
        <v>3.5333333333333332E-4</v>
      </c>
      <c r="BW111" s="472">
        <f t="shared" si="234"/>
        <v>11.03580281898439</v>
      </c>
      <c r="BX111" s="179">
        <f t="shared" si="235"/>
        <v>2.3308200226391799E-2</v>
      </c>
      <c r="BY111" s="6">
        <f t="shared" si="236"/>
        <v>0.05</v>
      </c>
      <c r="BZ111" s="179">
        <f t="shared" si="237"/>
        <v>0.68205193751297999</v>
      </c>
      <c r="CA111" s="6">
        <f t="shared" si="238"/>
        <v>68.205193751297998</v>
      </c>
      <c r="CD111" s="581">
        <f t="shared" si="239"/>
        <v>-50</v>
      </c>
      <c r="CE111">
        <f t="shared" si="240"/>
        <v>-50</v>
      </c>
    </row>
    <row r="112" spans="5:83" x14ac:dyDescent="0.2">
      <c r="E112" s="176">
        <v>2</v>
      </c>
      <c r="F112" s="223">
        <f t="shared" si="241"/>
        <v>0.02</v>
      </c>
      <c r="G112" s="223"/>
      <c r="H112" s="223">
        <f t="shared" si="190"/>
        <v>0.1</v>
      </c>
      <c r="I112" s="559">
        <f t="shared" si="191"/>
        <v>12</v>
      </c>
      <c r="J112" s="454">
        <f t="shared" si="192"/>
        <v>15.899999999999999</v>
      </c>
      <c r="K112" s="454">
        <f t="shared" si="193"/>
        <v>27.9</v>
      </c>
      <c r="L112" s="454"/>
      <c r="M112" s="223">
        <f t="shared" si="194"/>
        <v>0.56989247311827951</v>
      </c>
      <c r="N112" s="178">
        <f t="shared" si="242"/>
        <v>4.6161290322580646</v>
      </c>
      <c r="O112" s="178">
        <f t="shared" si="162"/>
        <v>0.1</v>
      </c>
      <c r="P112" s="223">
        <f t="shared" si="195"/>
        <v>0.9232258064516129</v>
      </c>
      <c r="Q112" s="223">
        <f t="shared" si="196"/>
        <v>5</v>
      </c>
      <c r="R112" s="223"/>
      <c r="S112" s="178">
        <f t="shared" si="197"/>
        <v>401.00299025930315</v>
      </c>
      <c r="T112" s="178">
        <f t="shared" si="198"/>
        <v>5</v>
      </c>
      <c r="U112" s="223">
        <f t="shared" si="199"/>
        <v>3.2494758909853254E-2</v>
      </c>
      <c r="V112" s="223">
        <f t="shared" si="200"/>
        <v>8.1236897274633138E-2</v>
      </c>
      <c r="W112" s="223">
        <f t="shared" si="201"/>
        <v>6.1310865867647647E-2</v>
      </c>
      <c r="X112" s="203">
        <f t="shared" si="202"/>
        <v>350</v>
      </c>
      <c r="Y112" s="454">
        <f t="shared" si="203"/>
        <v>350</v>
      </c>
      <c r="AA112" s="223">
        <f t="shared" si="204"/>
        <v>0.65130568356374818</v>
      </c>
      <c r="AB112" s="179">
        <f t="shared" si="205"/>
        <v>1.2288786482334872</v>
      </c>
      <c r="AC112" s="179">
        <f t="shared" si="206"/>
        <v>0.42019721520241832</v>
      </c>
      <c r="AD112" s="179"/>
      <c r="AE112" s="179">
        <f t="shared" si="207"/>
        <v>0.5660377358490567</v>
      </c>
      <c r="AF112" s="563">
        <f t="shared" si="208"/>
        <v>78.518518518518505</v>
      </c>
      <c r="AG112" s="546">
        <f t="shared" si="209"/>
        <v>8.9150943396226423E-2</v>
      </c>
      <c r="AI112" s="179">
        <f t="shared" si="210"/>
        <v>0.14209319544044391</v>
      </c>
      <c r="AJ112" s="179">
        <f t="shared" si="211"/>
        <v>0.3</v>
      </c>
      <c r="AK112" s="179">
        <f t="shared" si="212"/>
        <v>1.0448677248677249</v>
      </c>
      <c r="AM112" s="563">
        <f t="shared" si="213"/>
        <v>20</v>
      </c>
      <c r="AN112" s="472">
        <f t="shared" si="214"/>
        <v>78.518518518518505</v>
      </c>
      <c r="AP112" s="472">
        <f t="shared" si="215"/>
        <v>20</v>
      </c>
      <c r="AQ112" s="472">
        <f t="shared" si="216"/>
        <v>78.518518518518505</v>
      </c>
      <c r="AS112" s="6">
        <f t="shared" si="164"/>
        <v>12.735849056603776</v>
      </c>
      <c r="AT112" s="6">
        <f t="shared" si="217"/>
        <v>0.75</v>
      </c>
      <c r="AU112" s="6">
        <f t="shared" si="218"/>
        <v>11.985849056603776</v>
      </c>
      <c r="AV112" s="6"/>
      <c r="AW112" s="179">
        <f t="shared" si="219"/>
        <v>5.888888888888888E-2</v>
      </c>
      <c r="AX112" s="179">
        <f t="shared" si="142"/>
        <v>0.10599999999999997</v>
      </c>
      <c r="AY112" s="179">
        <f t="shared" si="143"/>
        <v>0.42349999999999999</v>
      </c>
      <c r="AZ112" s="179">
        <f t="shared" si="167"/>
        <v>0.25029515938606839</v>
      </c>
      <c r="BA112" s="472">
        <f t="shared" si="220"/>
        <v>0.3</v>
      </c>
      <c r="BB112" s="6">
        <f t="shared" si="221"/>
        <v>9.2483403214535312E-2</v>
      </c>
      <c r="BD112" s="179">
        <f t="shared" si="168"/>
        <v>4.2031734043061632E-2</v>
      </c>
      <c r="BE112" s="179">
        <f t="shared" si="146"/>
        <v>0.50408332644514231</v>
      </c>
      <c r="BG112" s="546">
        <f t="shared" si="222"/>
        <v>6.1833333333333315E-4</v>
      </c>
      <c r="BH112" s="546">
        <f t="shared" si="223"/>
        <v>4.9289999999999976E-3</v>
      </c>
      <c r="BI112" s="546">
        <f t="shared" si="224"/>
        <v>9.814814814814814E-4</v>
      </c>
      <c r="BJ112" s="546">
        <f t="shared" si="225"/>
        <v>3.0559799999999994E-3</v>
      </c>
      <c r="BK112">
        <f t="shared" si="226"/>
        <v>3.48E-3</v>
      </c>
      <c r="BM112" s="472">
        <f t="shared" si="227"/>
        <v>13.064794814814812</v>
      </c>
      <c r="BN112" s="546">
        <f t="shared" si="228"/>
        <v>8.0000000000000002E-3</v>
      </c>
      <c r="BQ112" s="472">
        <f t="shared" si="229"/>
        <v>8</v>
      </c>
      <c r="BR112" s="546">
        <f t="shared" si="230"/>
        <v>3.5333333333333327E-4</v>
      </c>
      <c r="BS112" s="546">
        <f t="shared" si="231"/>
        <v>1.0163999999999996E-2</v>
      </c>
      <c r="BT112" s="546">
        <f t="shared" si="232"/>
        <v>1.3464907772173807E-4</v>
      </c>
      <c r="BU112" s="546"/>
      <c r="BV112" s="546">
        <f t="shared" si="233"/>
        <v>7.0666666666666664E-4</v>
      </c>
      <c r="BW112" s="472">
        <f t="shared" si="234"/>
        <v>11.358649077721735</v>
      </c>
      <c r="BX112" s="179">
        <f t="shared" si="235"/>
        <v>3.2423443892536548E-2</v>
      </c>
      <c r="BY112" s="6">
        <f t="shared" si="236"/>
        <v>0.1</v>
      </c>
      <c r="BZ112" s="179">
        <f t="shared" si="237"/>
        <v>0.75515329507025497</v>
      </c>
      <c r="CA112" s="6">
        <f t="shared" si="238"/>
        <v>75.515329507025498</v>
      </c>
      <c r="CD112" s="581">
        <f t="shared" si="239"/>
        <v>-50</v>
      </c>
      <c r="CE112">
        <f t="shared" si="240"/>
        <v>-50</v>
      </c>
    </row>
    <row r="113" spans="5:83" x14ac:dyDescent="0.2">
      <c r="E113" s="176">
        <v>3</v>
      </c>
      <c r="F113" s="223">
        <f t="shared" si="241"/>
        <v>0.03</v>
      </c>
      <c r="G113" s="223"/>
      <c r="H113" s="223">
        <f t="shared" si="190"/>
        <v>0.15</v>
      </c>
      <c r="I113" s="559">
        <f t="shared" si="191"/>
        <v>12</v>
      </c>
      <c r="J113" s="454">
        <f t="shared" si="192"/>
        <v>15.899999999999999</v>
      </c>
      <c r="K113" s="454">
        <f t="shared" si="193"/>
        <v>27.9</v>
      </c>
      <c r="L113" s="454"/>
      <c r="M113" s="223">
        <f t="shared" si="194"/>
        <v>0.56989247311827951</v>
      </c>
      <c r="N113" s="178">
        <f t="shared" si="242"/>
        <v>4.6161290322580646</v>
      </c>
      <c r="O113" s="178">
        <f t="shared" si="162"/>
        <v>0.15</v>
      </c>
      <c r="P113" s="223">
        <f t="shared" si="195"/>
        <v>0.9232258064516129</v>
      </c>
      <c r="Q113" s="223">
        <f t="shared" si="196"/>
        <v>5</v>
      </c>
      <c r="R113" s="223"/>
      <c r="S113" s="178">
        <f t="shared" si="197"/>
        <v>266.0045061197705</v>
      </c>
      <c r="T113" s="178">
        <f t="shared" si="198"/>
        <v>5</v>
      </c>
      <c r="U113" s="223">
        <f t="shared" si="199"/>
        <v>4.8742138364779877E-2</v>
      </c>
      <c r="V113" s="223">
        <f t="shared" si="200"/>
        <v>0.1218553459119497</v>
      </c>
      <c r="W113" s="223">
        <f t="shared" si="201"/>
        <v>9.1966298801471488E-2</v>
      </c>
      <c r="X113" s="203">
        <f t="shared" si="202"/>
        <v>350</v>
      </c>
      <c r="Y113" s="454">
        <f t="shared" si="203"/>
        <v>350</v>
      </c>
      <c r="AA113" s="223">
        <f t="shared" si="204"/>
        <v>0.65130568356374818</v>
      </c>
      <c r="AB113" s="179">
        <f t="shared" si="205"/>
        <v>1.2288786482334872</v>
      </c>
      <c r="AC113" s="179">
        <f t="shared" si="206"/>
        <v>0.42019721520241832</v>
      </c>
      <c r="AD113" s="179"/>
      <c r="AE113" s="179">
        <f t="shared" si="207"/>
        <v>0.5660377358490567</v>
      </c>
      <c r="AF113" s="563">
        <f t="shared" si="208"/>
        <v>117.77777777777776</v>
      </c>
      <c r="AG113" s="546">
        <f t="shared" si="209"/>
        <v>8.9150943396226423E-2</v>
      </c>
      <c r="AI113" s="179">
        <f t="shared" si="210"/>
        <v>0.17402791237532639</v>
      </c>
      <c r="AJ113" s="179">
        <f t="shared" si="211"/>
        <v>0.3</v>
      </c>
      <c r="AK113" s="179">
        <f t="shared" si="212"/>
        <v>1.0673015873015872</v>
      </c>
      <c r="AM113" s="563">
        <f t="shared" si="213"/>
        <v>30</v>
      </c>
      <c r="AN113" s="472">
        <f t="shared" si="214"/>
        <v>117.77777777777776</v>
      </c>
      <c r="AP113" s="472">
        <f t="shared" si="215"/>
        <v>30</v>
      </c>
      <c r="AQ113" s="472">
        <f t="shared" si="216"/>
        <v>117.77777777777776</v>
      </c>
      <c r="AS113" s="6">
        <f t="shared" si="164"/>
        <v>8.4905660377358512</v>
      </c>
      <c r="AT113" s="6">
        <f t="shared" si="217"/>
        <v>0.75</v>
      </c>
      <c r="AU113" s="6">
        <f t="shared" si="218"/>
        <v>7.7405660377358512</v>
      </c>
      <c r="AV113" s="6"/>
      <c r="AW113" s="179">
        <f t="shared" si="219"/>
        <v>8.8333333333333305E-2</v>
      </c>
      <c r="AX113" s="179">
        <f t="shared" si="142"/>
        <v>0.15899999999999997</v>
      </c>
      <c r="AY113" s="179">
        <f t="shared" si="143"/>
        <v>0.41025</v>
      </c>
      <c r="AZ113" s="179">
        <f t="shared" si="167"/>
        <v>0.38756855575868365</v>
      </c>
      <c r="BA113" s="472">
        <f t="shared" si="220"/>
        <v>0.45</v>
      </c>
      <c r="BB113" s="6">
        <f t="shared" si="221"/>
        <v>8.9589884696016781E-2</v>
      </c>
      <c r="BD113" s="179">
        <f t="shared" si="168"/>
        <v>5.1478150704934993E-2</v>
      </c>
      <c r="BE113" s="179">
        <f t="shared" si="146"/>
        <v>0.49613506225623683</v>
      </c>
      <c r="BG113" s="546">
        <f t="shared" si="222"/>
        <v>9.2749999999999961E-4</v>
      </c>
      <c r="BH113" s="546">
        <f t="shared" si="223"/>
        <v>7.3934999999999973E-3</v>
      </c>
      <c r="BI113" s="546">
        <f t="shared" si="224"/>
        <v>1.4722222222222218E-3</v>
      </c>
      <c r="BJ113" s="546">
        <f t="shared" si="225"/>
        <v>4.5839699999999988E-3</v>
      </c>
      <c r="BK113">
        <f t="shared" si="226"/>
        <v>3.48E-3</v>
      </c>
      <c r="BM113" s="472">
        <f t="shared" si="227"/>
        <v>17.857192222222217</v>
      </c>
      <c r="BN113" s="546">
        <f t="shared" si="228"/>
        <v>1.2E-2</v>
      </c>
      <c r="BQ113" s="472">
        <f t="shared" si="229"/>
        <v>12</v>
      </c>
      <c r="BR113" s="546">
        <f t="shared" si="230"/>
        <v>5.2999999999999987E-4</v>
      </c>
      <c r="BS113" s="546">
        <f t="shared" si="231"/>
        <v>9.8459999999999989E-3</v>
      </c>
      <c r="BT113" s="546">
        <f t="shared" si="232"/>
        <v>3.7104922659893897E-4</v>
      </c>
      <c r="BU113" s="546"/>
      <c r="BV113" s="546">
        <f t="shared" si="233"/>
        <v>1.06E-3</v>
      </c>
      <c r="BW113" s="472">
        <f t="shared" si="234"/>
        <v>11.807049226598938</v>
      </c>
      <c r="BX113" s="179">
        <f t="shared" si="235"/>
        <v>4.1664241448821152E-2</v>
      </c>
      <c r="BY113" s="6">
        <f t="shared" si="236"/>
        <v>0.15</v>
      </c>
      <c r="BZ113" s="179">
        <f t="shared" si="237"/>
        <v>0.78261859836830083</v>
      </c>
      <c r="CA113" s="6">
        <f t="shared" si="238"/>
        <v>78.261859836830084</v>
      </c>
      <c r="CD113" s="581">
        <f t="shared" si="239"/>
        <v>-50</v>
      </c>
      <c r="CE113">
        <f t="shared" si="240"/>
        <v>-50</v>
      </c>
    </row>
    <row r="114" spans="5:83" x14ac:dyDescent="0.2">
      <c r="E114" s="176">
        <v>4</v>
      </c>
      <c r="F114" s="223">
        <f t="shared" si="241"/>
        <v>0.04</v>
      </c>
      <c r="G114" s="223"/>
      <c r="H114" s="223">
        <f t="shared" si="190"/>
        <v>0.2</v>
      </c>
      <c r="I114" s="559">
        <f t="shared" si="191"/>
        <v>12</v>
      </c>
      <c r="J114" s="454">
        <f t="shared" si="192"/>
        <v>15.899999999999999</v>
      </c>
      <c r="K114" s="454">
        <f t="shared" si="193"/>
        <v>27.9</v>
      </c>
      <c r="L114" s="454"/>
      <c r="M114" s="223">
        <f t="shared" si="194"/>
        <v>0.56989247311827951</v>
      </c>
      <c r="N114" s="178">
        <f t="shared" si="242"/>
        <v>4.6161290322580646</v>
      </c>
      <c r="O114" s="178">
        <f t="shared" si="162"/>
        <v>0.2</v>
      </c>
      <c r="P114" s="223">
        <f t="shared" si="195"/>
        <v>0.9232258064516129</v>
      </c>
      <c r="Q114" s="223">
        <f t="shared" si="196"/>
        <v>5</v>
      </c>
      <c r="R114" s="223"/>
      <c r="S114" s="178">
        <f t="shared" si="197"/>
        <v>198.5060360340357</v>
      </c>
      <c r="T114" s="178">
        <f t="shared" si="198"/>
        <v>5</v>
      </c>
      <c r="U114" s="223">
        <f t="shared" si="199"/>
        <v>6.4989517819706508E-2</v>
      </c>
      <c r="V114" s="223">
        <f t="shared" si="200"/>
        <v>0.16247379454926628</v>
      </c>
      <c r="W114" s="223">
        <f t="shared" si="201"/>
        <v>0.12262173173529529</v>
      </c>
      <c r="X114" s="203">
        <f t="shared" si="202"/>
        <v>350</v>
      </c>
      <c r="Y114" s="454">
        <f t="shared" si="203"/>
        <v>350</v>
      </c>
      <c r="AA114" s="223">
        <f t="shared" si="204"/>
        <v>0.65130568356374818</v>
      </c>
      <c r="AB114" s="179">
        <f t="shared" si="205"/>
        <v>1.2288786482334872</v>
      </c>
      <c r="AC114" s="179">
        <f t="shared" si="206"/>
        <v>0.42019721520241832</v>
      </c>
      <c r="AD114" s="179"/>
      <c r="AE114" s="179">
        <f t="shared" si="207"/>
        <v>0.5660377358490567</v>
      </c>
      <c r="AF114" s="563">
        <f t="shared" si="208"/>
        <v>157.03703703703701</v>
      </c>
      <c r="AG114" s="546">
        <f t="shared" si="209"/>
        <v>8.9150943396226423E-2</v>
      </c>
      <c r="AI114" s="179">
        <f t="shared" si="210"/>
        <v>0.20095012411280661</v>
      </c>
      <c r="AJ114" s="179">
        <f t="shared" si="211"/>
        <v>0.3</v>
      </c>
      <c r="AK114" s="179">
        <f t="shared" si="212"/>
        <v>1.0897354497354497</v>
      </c>
      <c r="AM114" s="563">
        <f t="shared" si="213"/>
        <v>40</v>
      </c>
      <c r="AN114" s="472">
        <f t="shared" si="214"/>
        <v>157.03703703703701</v>
      </c>
      <c r="AP114" s="472">
        <f t="shared" si="215"/>
        <v>40</v>
      </c>
      <c r="AQ114" s="472">
        <f t="shared" si="216"/>
        <v>157.03703703703701</v>
      </c>
      <c r="AS114" s="6">
        <f t="shared" si="164"/>
        <v>6.3679245283018879</v>
      </c>
      <c r="AT114" s="6">
        <f t="shared" si="217"/>
        <v>0.75</v>
      </c>
      <c r="AU114" s="6">
        <f t="shared" si="218"/>
        <v>5.6179245283018879</v>
      </c>
      <c r="AV114" s="6"/>
      <c r="AW114" s="179">
        <f t="shared" si="219"/>
        <v>0.11777777777777776</v>
      </c>
      <c r="AX114" s="179">
        <f t="shared" si="142"/>
        <v>0.21199999999999994</v>
      </c>
      <c r="AY114" s="179">
        <f t="shared" si="143"/>
        <v>0.39699999999999996</v>
      </c>
      <c r="AZ114" s="179">
        <f t="shared" si="167"/>
        <v>0.53400503778337516</v>
      </c>
      <c r="BA114" s="472">
        <f t="shared" si="220"/>
        <v>0.6</v>
      </c>
      <c r="BB114" s="6">
        <f t="shared" si="221"/>
        <v>8.6696366177498277E-2</v>
      </c>
      <c r="BD114" s="179">
        <f t="shared" si="168"/>
        <v>5.9441848333756687E-2</v>
      </c>
      <c r="BE114" s="179">
        <f t="shared" si="146"/>
        <v>0.4880573736764971</v>
      </c>
      <c r="BG114" s="546">
        <f t="shared" si="222"/>
        <v>1.2366666666666663E-3</v>
      </c>
      <c r="BH114" s="546">
        <f t="shared" si="223"/>
        <v>9.8579999999999952E-3</v>
      </c>
      <c r="BI114" s="546">
        <f t="shared" si="224"/>
        <v>1.9629629629629628E-3</v>
      </c>
      <c r="BJ114" s="546">
        <f t="shared" si="225"/>
        <v>6.1119599999999987E-3</v>
      </c>
      <c r="BK114">
        <f t="shared" si="226"/>
        <v>3.48E-3</v>
      </c>
      <c r="BM114" s="472">
        <f t="shared" si="227"/>
        <v>22.649589629629624</v>
      </c>
      <c r="BN114" s="546">
        <f t="shared" si="228"/>
        <v>1.6E-2</v>
      </c>
      <c r="BQ114" s="472">
        <f t="shared" si="229"/>
        <v>16</v>
      </c>
      <c r="BR114" s="546">
        <f t="shared" si="230"/>
        <v>7.0666666666666664E-4</v>
      </c>
      <c r="BS114" s="546">
        <f t="shared" si="231"/>
        <v>9.5279999999999965E-3</v>
      </c>
      <c r="BT114" s="546">
        <f t="shared" si="232"/>
        <v>7.6169020750044324E-4</v>
      </c>
      <c r="BU114" s="546"/>
      <c r="BV114" s="546">
        <f t="shared" si="233"/>
        <v>1.4133333333333333E-3</v>
      </c>
      <c r="BW114" s="472">
        <f t="shared" si="234"/>
        <v>12.409690207500438</v>
      </c>
      <c r="BX114" s="179">
        <f t="shared" si="235"/>
        <v>5.1059279837130066E-2</v>
      </c>
      <c r="BY114" s="6">
        <f t="shared" si="236"/>
        <v>0.2</v>
      </c>
      <c r="BZ114" s="179">
        <f t="shared" si="237"/>
        <v>0.79662460646643385</v>
      </c>
      <c r="CA114" s="6">
        <f t="shared" si="238"/>
        <v>79.662460646643382</v>
      </c>
      <c r="CD114" s="581">
        <f t="shared" si="239"/>
        <v>-50</v>
      </c>
      <c r="CE114">
        <f t="shared" si="240"/>
        <v>-50</v>
      </c>
    </row>
    <row r="115" spans="5:83" x14ac:dyDescent="0.2">
      <c r="E115" s="176">
        <v>5</v>
      </c>
      <c r="F115" s="223">
        <f t="shared" si="241"/>
        <v>0.05</v>
      </c>
      <c r="G115" s="223"/>
      <c r="H115" s="223">
        <f t="shared" si="190"/>
        <v>0.25</v>
      </c>
      <c r="I115" s="559">
        <f t="shared" si="191"/>
        <v>12</v>
      </c>
      <c r="J115" s="454">
        <f t="shared" si="192"/>
        <v>15.899999999999999</v>
      </c>
      <c r="K115" s="454">
        <f t="shared" si="193"/>
        <v>27.9</v>
      </c>
      <c r="L115" s="454"/>
      <c r="M115" s="223">
        <f t="shared" si="194"/>
        <v>0.56989247311827951</v>
      </c>
      <c r="N115" s="178">
        <f t="shared" si="242"/>
        <v>4.6161290322580646</v>
      </c>
      <c r="O115" s="178">
        <f t="shared" si="162"/>
        <v>0.25</v>
      </c>
      <c r="P115" s="223">
        <f t="shared" si="195"/>
        <v>0.9232258064516129</v>
      </c>
      <c r="Q115" s="223">
        <f t="shared" si="196"/>
        <v>5</v>
      </c>
      <c r="R115" s="223"/>
      <c r="S115" s="178">
        <f t="shared" si="197"/>
        <v>158.00758018029606</v>
      </c>
      <c r="T115" s="178">
        <f t="shared" si="198"/>
        <v>5</v>
      </c>
      <c r="U115" s="223">
        <f t="shared" si="199"/>
        <v>8.1236897274633124E-2</v>
      </c>
      <c r="V115" s="223">
        <f t="shared" si="200"/>
        <v>0.20309224318658284</v>
      </c>
      <c r="W115" s="223">
        <f t="shared" si="201"/>
        <v>0.15327716466911911</v>
      </c>
      <c r="X115" s="203">
        <f t="shared" si="202"/>
        <v>350</v>
      </c>
      <c r="Y115" s="454">
        <f t="shared" si="203"/>
        <v>350</v>
      </c>
      <c r="AA115" s="223">
        <f t="shared" si="204"/>
        <v>0.65130568356374818</v>
      </c>
      <c r="AB115" s="179">
        <f t="shared" si="205"/>
        <v>1.2288786482334872</v>
      </c>
      <c r="AC115" s="179">
        <f t="shared" si="206"/>
        <v>0.42019721520241832</v>
      </c>
      <c r="AD115" s="179"/>
      <c r="AE115" s="179">
        <f t="shared" si="207"/>
        <v>0.5660377358490567</v>
      </c>
      <c r="AF115" s="563">
        <f t="shared" si="208"/>
        <v>196.29629629629628</v>
      </c>
      <c r="AG115" s="546">
        <f t="shared" si="209"/>
        <v>8.9150943396226423E-2</v>
      </c>
      <c r="AI115" s="179">
        <f t="shared" si="210"/>
        <v>0.2246690688016276</v>
      </c>
      <c r="AJ115" s="179">
        <f t="shared" si="211"/>
        <v>0.3</v>
      </c>
      <c r="AK115" s="179">
        <f t="shared" si="212"/>
        <v>1.1121693121693121</v>
      </c>
      <c r="AM115" s="563">
        <f t="shared" si="213"/>
        <v>50</v>
      </c>
      <c r="AN115" s="472">
        <f t="shared" si="214"/>
        <v>196.29629629629628</v>
      </c>
      <c r="AP115" s="472">
        <f t="shared" si="215"/>
        <v>50</v>
      </c>
      <c r="AQ115" s="472">
        <f t="shared" si="216"/>
        <v>196.29629629629628</v>
      </c>
      <c r="AS115" s="6">
        <f t="shared" si="164"/>
        <v>5.0943396226415105</v>
      </c>
      <c r="AT115" s="6">
        <f t="shared" si="217"/>
        <v>0.75</v>
      </c>
      <c r="AU115" s="6">
        <f t="shared" si="218"/>
        <v>4.3443396226415105</v>
      </c>
      <c r="AV115" s="6"/>
      <c r="AW115" s="179">
        <f t="shared" si="219"/>
        <v>0.1472222222222222</v>
      </c>
      <c r="AX115" s="179">
        <f t="shared" si="142"/>
        <v>0.26500000000000001</v>
      </c>
      <c r="AY115" s="179">
        <f t="shared" si="143"/>
        <v>0.38374999999999998</v>
      </c>
      <c r="AZ115" s="179">
        <f t="shared" si="167"/>
        <v>0.69055374592833885</v>
      </c>
      <c r="BA115" s="472">
        <f t="shared" si="220"/>
        <v>0.75000000000000011</v>
      </c>
      <c r="BB115" s="6">
        <f t="shared" si="221"/>
        <v>8.3802847658979746E-2</v>
      </c>
      <c r="BD115" s="179">
        <f t="shared" si="168"/>
        <v>6.6458006791256283E-2</v>
      </c>
      <c r="BE115" s="179">
        <f t="shared" si="146"/>
        <v>0.47984372456040308</v>
      </c>
      <c r="BG115" s="546">
        <f t="shared" si="222"/>
        <v>1.5458333333333331E-3</v>
      </c>
      <c r="BH115" s="546">
        <f t="shared" si="223"/>
        <v>1.2322499999999997E-2</v>
      </c>
      <c r="BI115" s="546">
        <f t="shared" si="224"/>
        <v>2.4537037037037036E-3</v>
      </c>
      <c r="BJ115" s="546">
        <f t="shared" si="225"/>
        <v>7.6399499999999995E-3</v>
      </c>
      <c r="BK115">
        <f t="shared" si="226"/>
        <v>3.48E-3</v>
      </c>
      <c r="BM115" s="472">
        <f t="shared" si="227"/>
        <v>27.441987037037034</v>
      </c>
      <c r="BN115" s="546">
        <f t="shared" si="228"/>
        <v>2.0000000000000004E-2</v>
      </c>
      <c r="BQ115" s="472">
        <f t="shared" si="229"/>
        <v>20.000000000000004</v>
      </c>
      <c r="BR115" s="546">
        <f t="shared" si="230"/>
        <v>8.8333333333333319E-4</v>
      </c>
      <c r="BS115" s="546">
        <f t="shared" si="231"/>
        <v>9.2099999999999994E-3</v>
      </c>
      <c r="BT115" s="546">
        <f t="shared" si="232"/>
        <v>1.330618032630401E-3</v>
      </c>
      <c r="BU115" s="546"/>
      <c r="BV115" s="546">
        <f t="shared" si="233"/>
        <v>1.7666666666666668E-3</v>
      </c>
      <c r="BW115" s="472">
        <f t="shared" si="234"/>
        <v>13.1906180326304</v>
      </c>
      <c r="BX115" s="179">
        <f t="shared" si="235"/>
        <v>6.0632605069667445E-2</v>
      </c>
      <c r="BY115" s="6">
        <f t="shared" si="236"/>
        <v>0.25</v>
      </c>
      <c r="BZ115" s="179">
        <f t="shared" si="237"/>
        <v>0.80480926959979293</v>
      </c>
      <c r="CA115" s="6">
        <f t="shared" si="238"/>
        <v>80.4809269599793</v>
      </c>
      <c r="CD115" s="581">
        <f t="shared" si="239"/>
        <v>-50</v>
      </c>
      <c r="CE115">
        <f t="shared" si="240"/>
        <v>-50</v>
      </c>
    </row>
    <row r="116" spans="5:83" x14ac:dyDescent="0.2">
      <c r="E116" s="176">
        <v>6</v>
      </c>
      <c r="F116" s="223">
        <f t="shared" si="241"/>
        <v>0.06</v>
      </c>
      <c r="G116" s="223"/>
      <c r="H116" s="223">
        <f t="shared" si="190"/>
        <v>0.3</v>
      </c>
      <c r="I116" s="559">
        <f t="shared" si="191"/>
        <v>12</v>
      </c>
      <c r="J116" s="454">
        <f t="shared" si="192"/>
        <v>15.899999999999999</v>
      </c>
      <c r="K116" s="454">
        <f t="shared" si="193"/>
        <v>27.9</v>
      </c>
      <c r="L116" s="454"/>
      <c r="M116" s="223">
        <f t="shared" si="194"/>
        <v>0.56989247311827951</v>
      </c>
      <c r="N116" s="178">
        <f t="shared" si="242"/>
        <v>4.6161290322580646</v>
      </c>
      <c r="O116" s="178">
        <f t="shared" si="162"/>
        <v>0.3</v>
      </c>
      <c r="P116" s="223">
        <f t="shared" si="195"/>
        <v>0.9232258064516129</v>
      </c>
      <c r="Q116" s="223">
        <f t="shared" si="196"/>
        <v>5</v>
      </c>
      <c r="R116" s="223"/>
      <c r="S116" s="178">
        <f t="shared" si="197"/>
        <v>131.00913873940166</v>
      </c>
      <c r="T116" s="178">
        <f t="shared" si="198"/>
        <v>5</v>
      </c>
      <c r="U116" s="223">
        <f t="shared" si="199"/>
        <v>9.7484276729559755E-2</v>
      </c>
      <c r="V116" s="223">
        <f t="shared" si="200"/>
        <v>0.2437106918238994</v>
      </c>
      <c r="W116" s="223">
        <f t="shared" si="201"/>
        <v>0.18393259760294298</v>
      </c>
      <c r="X116" s="203">
        <f t="shared" si="202"/>
        <v>350</v>
      </c>
      <c r="Y116" s="454">
        <f t="shared" si="203"/>
        <v>350</v>
      </c>
      <c r="AA116" s="223">
        <f t="shared" si="204"/>
        <v>0.65130568356374818</v>
      </c>
      <c r="AB116" s="179">
        <f t="shared" si="205"/>
        <v>1.2288786482334872</v>
      </c>
      <c r="AC116" s="179">
        <f t="shared" si="206"/>
        <v>0.42019721520241832</v>
      </c>
      <c r="AD116" s="179"/>
      <c r="AE116" s="179">
        <f t="shared" si="207"/>
        <v>0.5660377358490567</v>
      </c>
      <c r="AF116" s="563">
        <f t="shared" si="208"/>
        <v>235.55555555555551</v>
      </c>
      <c r="AG116" s="546">
        <f t="shared" si="209"/>
        <v>8.9150943396226423E-2</v>
      </c>
      <c r="AI116" s="179">
        <f t="shared" si="210"/>
        <v>0.24611263391266316</v>
      </c>
      <c r="AJ116" s="179">
        <f t="shared" si="211"/>
        <v>0.3</v>
      </c>
      <c r="AK116" s="179">
        <f t="shared" si="212"/>
        <v>1.1346031746031746</v>
      </c>
      <c r="AM116" s="563">
        <f t="shared" si="213"/>
        <v>60</v>
      </c>
      <c r="AN116" s="472">
        <f t="shared" si="214"/>
        <v>235.55555555555551</v>
      </c>
      <c r="AP116" s="472">
        <f t="shared" si="215"/>
        <v>60</v>
      </c>
      <c r="AQ116" s="472">
        <f t="shared" si="216"/>
        <v>235.55555555555551</v>
      </c>
      <c r="AS116" s="6">
        <f t="shared" si="164"/>
        <v>4.2452830188679256</v>
      </c>
      <c r="AT116" s="6">
        <f t="shared" si="217"/>
        <v>0.75</v>
      </c>
      <c r="AU116" s="6">
        <f t="shared" si="218"/>
        <v>3.4952830188679256</v>
      </c>
      <c r="AV116" s="6"/>
      <c r="AW116" s="179">
        <f t="shared" si="219"/>
        <v>0.17666666666666661</v>
      </c>
      <c r="AX116" s="179">
        <f t="shared" si="142"/>
        <v>0.31799999999999995</v>
      </c>
      <c r="AY116" s="179">
        <f t="shared" si="143"/>
        <v>0.3705</v>
      </c>
      <c r="AZ116" s="179">
        <f t="shared" si="167"/>
        <v>0.85829959514170029</v>
      </c>
      <c r="BA116" s="472">
        <f t="shared" si="220"/>
        <v>0.9</v>
      </c>
      <c r="BB116" s="6">
        <f t="shared" si="221"/>
        <v>8.0909329140461214E-2</v>
      </c>
      <c r="BD116" s="179">
        <f t="shared" si="168"/>
        <v>7.2801098892805172E-2</v>
      </c>
      <c r="BE116" s="179">
        <f t="shared" si="146"/>
        <v>0.47148700936505128</v>
      </c>
      <c r="BG116" s="546">
        <f t="shared" si="222"/>
        <v>1.8549999999999992E-3</v>
      </c>
      <c r="BH116" s="546">
        <f t="shared" si="223"/>
        <v>1.4786999999999995E-2</v>
      </c>
      <c r="BI116" s="546">
        <f t="shared" si="224"/>
        <v>2.9444444444444435E-3</v>
      </c>
      <c r="BJ116" s="546">
        <f t="shared" si="225"/>
        <v>9.1679399999999977E-3</v>
      </c>
      <c r="BK116">
        <f t="shared" si="226"/>
        <v>3.48E-3</v>
      </c>
      <c r="BM116" s="472">
        <f t="shared" si="227"/>
        <v>32.23438444444443</v>
      </c>
      <c r="BN116" s="546">
        <f t="shared" si="228"/>
        <v>2.4E-2</v>
      </c>
      <c r="BQ116" s="472">
        <f t="shared" si="229"/>
        <v>24</v>
      </c>
      <c r="BR116" s="546">
        <f t="shared" si="230"/>
        <v>1.0599999999999997E-3</v>
      </c>
      <c r="BS116" s="546">
        <f t="shared" si="231"/>
        <v>8.8919999999999971E-3</v>
      </c>
      <c r="BT116" s="546">
        <f t="shared" si="232"/>
        <v>2.0989713942570678E-3</v>
      </c>
      <c r="BU116" s="546"/>
      <c r="BV116" s="546">
        <f t="shared" si="233"/>
        <v>2.1199999999999999E-3</v>
      </c>
      <c r="BW116" s="472">
        <f t="shared" si="234"/>
        <v>14.170971394257066</v>
      </c>
      <c r="BX116" s="179">
        <f t="shared" si="235"/>
        <v>7.0405355838701486E-2</v>
      </c>
      <c r="BY116" s="6">
        <f t="shared" si="236"/>
        <v>0.3</v>
      </c>
      <c r="BZ116" s="179">
        <f t="shared" si="237"/>
        <v>0.80992349400757435</v>
      </c>
      <c r="CA116" s="6">
        <f t="shared" si="238"/>
        <v>80.992349400757433</v>
      </c>
      <c r="CD116" s="581">
        <f t="shared" si="239"/>
        <v>-50</v>
      </c>
      <c r="CE116">
        <f t="shared" si="240"/>
        <v>-50</v>
      </c>
    </row>
    <row r="117" spans="5:83" x14ac:dyDescent="0.2">
      <c r="E117" s="176">
        <v>7</v>
      </c>
      <c r="F117" s="223">
        <f t="shared" si="241"/>
        <v>7.0000000000000007E-2</v>
      </c>
      <c r="G117" s="223"/>
      <c r="H117" s="223">
        <f t="shared" si="190"/>
        <v>0.35000000000000003</v>
      </c>
      <c r="I117" s="559">
        <f t="shared" si="191"/>
        <v>12</v>
      </c>
      <c r="J117" s="454">
        <f t="shared" si="192"/>
        <v>15.899999999999999</v>
      </c>
      <c r="K117" s="454">
        <f t="shared" si="193"/>
        <v>27.9</v>
      </c>
      <c r="L117" s="454"/>
      <c r="M117" s="223">
        <f t="shared" si="194"/>
        <v>0.56989247311827951</v>
      </c>
      <c r="N117" s="178">
        <f t="shared" si="242"/>
        <v>4.6161290322580646</v>
      </c>
      <c r="O117" s="178">
        <f t="shared" si="162"/>
        <v>0.35000000000000003</v>
      </c>
      <c r="P117" s="223">
        <f t="shared" si="195"/>
        <v>0.9232258064516129</v>
      </c>
      <c r="Q117" s="223">
        <f t="shared" si="196"/>
        <v>5</v>
      </c>
      <c r="R117" s="223"/>
      <c r="S117" s="178">
        <f t="shared" si="197"/>
        <v>111.72499760918069</v>
      </c>
      <c r="T117" s="178">
        <f t="shared" si="198"/>
        <v>5</v>
      </c>
      <c r="U117" s="223">
        <f t="shared" si="199"/>
        <v>0.1137316561844864</v>
      </c>
      <c r="V117" s="223">
        <f t="shared" si="200"/>
        <v>0.28432914046121599</v>
      </c>
      <c r="W117" s="223">
        <f t="shared" si="201"/>
        <v>0.21458803053676681</v>
      </c>
      <c r="X117" s="203">
        <f t="shared" si="202"/>
        <v>350</v>
      </c>
      <c r="Y117" s="454">
        <f t="shared" si="203"/>
        <v>350</v>
      </c>
      <c r="AA117" s="223">
        <f t="shared" si="204"/>
        <v>0.65130568356374818</v>
      </c>
      <c r="AB117" s="179">
        <f t="shared" si="205"/>
        <v>1.2288786482334872</v>
      </c>
      <c r="AC117" s="179">
        <f t="shared" si="206"/>
        <v>0.42019721520241832</v>
      </c>
      <c r="AD117" s="179"/>
      <c r="AE117" s="179">
        <f t="shared" si="207"/>
        <v>0.5660377358490567</v>
      </c>
      <c r="AF117" s="563">
        <f t="shared" si="208"/>
        <v>274.81481481481478</v>
      </c>
      <c r="AG117" s="546">
        <f t="shared" si="209"/>
        <v>8.9150943396226423E-2</v>
      </c>
      <c r="AI117" s="179">
        <f t="shared" si="210"/>
        <v>0.26583202716502513</v>
      </c>
      <c r="AJ117" s="179">
        <f t="shared" si="211"/>
        <v>0.3</v>
      </c>
      <c r="AK117" s="179">
        <f t="shared" si="212"/>
        <v>1.1570370370370371</v>
      </c>
      <c r="AM117" s="563">
        <f t="shared" si="213"/>
        <v>70</v>
      </c>
      <c r="AN117" s="472">
        <f t="shared" si="214"/>
        <v>274.81481481481478</v>
      </c>
      <c r="AP117" s="472">
        <f t="shared" si="215"/>
        <v>70</v>
      </c>
      <c r="AQ117" s="472">
        <f t="shared" si="216"/>
        <v>274.81481481481478</v>
      </c>
      <c r="AS117" s="6">
        <f t="shared" si="164"/>
        <v>3.6388140161725073</v>
      </c>
      <c r="AT117" s="6">
        <f t="shared" si="217"/>
        <v>0.75</v>
      </c>
      <c r="AU117" s="6">
        <f t="shared" si="218"/>
        <v>2.8888140161725073</v>
      </c>
      <c r="AV117" s="6"/>
      <c r="AW117" s="179">
        <f t="shared" si="219"/>
        <v>0.20611111111111108</v>
      </c>
      <c r="AX117" s="179">
        <f t="shared" si="142"/>
        <v>0.37099999999999994</v>
      </c>
      <c r="AY117" s="179">
        <f t="shared" si="143"/>
        <v>0.35724999999999996</v>
      </c>
      <c r="AZ117" s="179">
        <f t="shared" si="167"/>
        <v>1.0384884534639607</v>
      </c>
      <c r="BA117" s="472">
        <f t="shared" ref="BA117:BA180" si="243">F117*AT117/Vout_ripple*1000</f>
        <v>1.05</v>
      </c>
      <c r="BB117" s="6">
        <f t="shared" ref="BB117:BB180" si="244">H117/Efficiency/I117*AU117/Vinripple1</f>
        <v>7.8015810621942697E-2</v>
      </c>
      <c r="BD117" s="179">
        <f t="shared" si="168"/>
        <v>7.8634174080569649E-2</v>
      </c>
      <c r="BE117" s="179">
        <f t="shared" si="146"/>
        <v>0.46297948118680154</v>
      </c>
      <c r="BG117" s="546">
        <f t="shared" si="222"/>
        <v>2.1641666666666658E-3</v>
      </c>
      <c r="BH117" s="546">
        <f t="shared" si="223"/>
        <v>1.7251499999999996E-2</v>
      </c>
      <c r="BI117" s="546">
        <f t="shared" si="224"/>
        <v>3.4351851851851848E-3</v>
      </c>
      <c r="BJ117" s="546">
        <f t="shared" si="225"/>
        <v>1.0695929999999999E-2</v>
      </c>
      <c r="BK117">
        <f t="shared" si="226"/>
        <v>3.48E-3</v>
      </c>
      <c r="BM117" s="472">
        <f t="shared" si="227"/>
        <v>37.026781851851844</v>
      </c>
      <c r="BN117" s="546">
        <f t="shared" si="228"/>
        <v>2.8000000000000004E-2</v>
      </c>
      <c r="BQ117" s="472">
        <f t="shared" si="229"/>
        <v>28.000000000000004</v>
      </c>
      <c r="BR117" s="546">
        <f t="shared" si="230"/>
        <v>1.2366666666666663E-3</v>
      </c>
      <c r="BS117" s="546">
        <f t="shared" si="231"/>
        <v>8.5739999999999966E-3</v>
      </c>
      <c r="BT117" s="546">
        <f t="shared" si="232"/>
        <v>3.0858406372140197E-3</v>
      </c>
      <c r="BU117" s="546"/>
      <c r="BV117" s="546">
        <f t="shared" si="233"/>
        <v>2.4733333333333335E-3</v>
      </c>
      <c r="BW117" s="472">
        <f t="shared" si="234"/>
        <v>15.369840637214017</v>
      </c>
      <c r="BX117" s="179">
        <f t="shared" si="235"/>
        <v>8.0396622489065858E-2</v>
      </c>
      <c r="BY117" s="6">
        <f t="shared" si="236"/>
        <v>0.35000000000000003</v>
      </c>
      <c r="BZ117" s="179">
        <f t="shared" si="237"/>
        <v>0.81320340753578213</v>
      </c>
      <c r="CA117" s="6">
        <f t="shared" si="238"/>
        <v>81.320340753578208</v>
      </c>
      <c r="CD117" s="581">
        <f t="shared" si="239"/>
        <v>-50</v>
      </c>
      <c r="CE117">
        <f t="shared" si="240"/>
        <v>-50</v>
      </c>
    </row>
    <row r="118" spans="5:83" x14ac:dyDescent="0.2">
      <c r="E118" s="176">
        <v>8</v>
      </c>
      <c r="F118" s="223">
        <f t="shared" si="241"/>
        <v>0.08</v>
      </c>
      <c r="G118" s="223"/>
      <c r="H118" s="223">
        <f t="shared" si="190"/>
        <v>0.4</v>
      </c>
      <c r="I118" s="559">
        <f t="shared" si="191"/>
        <v>12</v>
      </c>
      <c r="J118" s="454">
        <f t="shared" si="192"/>
        <v>15.899999999999999</v>
      </c>
      <c r="K118" s="454">
        <f t="shared" si="193"/>
        <v>27.9</v>
      </c>
      <c r="L118" s="454"/>
      <c r="M118" s="223">
        <f t="shared" si="194"/>
        <v>0.56989247311827951</v>
      </c>
      <c r="N118" s="178">
        <f t="shared" si="242"/>
        <v>4.6161290322580646</v>
      </c>
      <c r="O118" s="178">
        <f t="shared" si="162"/>
        <v>0.4</v>
      </c>
      <c r="P118" s="223">
        <f t="shared" si="195"/>
        <v>0.9232258064516129</v>
      </c>
      <c r="Q118" s="223">
        <f t="shared" si="196"/>
        <v>5</v>
      </c>
      <c r="R118" s="223"/>
      <c r="S118" s="178">
        <f t="shared" si="197"/>
        <v>97.262299833050818</v>
      </c>
      <c r="T118" s="178">
        <f t="shared" si="198"/>
        <v>5</v>
      </c>
      <c r="U118" s="223">
        <f t="shared" si="199"/>
        <v>0.12997903563941302</v>
      </c>
      <c r="V118" s="223">
        <f t="shared" si="200"/>
        <v>0.32494758909853255</v>
      </c>
      <c r="W118" s="223">
        <f t="shared" si="201"/>
        <v>0.24524346347059059</v>
      </c>
      <c r="X118" s="203">
        <f t="shared" si="202"/>
        <v>350</v>
      </c>
      <c r="Y118" s="454">
        <f t="shared" si="203"/>
        <v>350</v>
      </c>
      <c r="AA118" s="223">
        <f t="shared" si="204"/>
        <v>0.65130568356374818</v>
      </c>
      <c r="AB118" s="179">
        <f t="shared" si="205"/>
        <v>1.2288786482334872</v>
      </c>
      <c r="AC118" s="179">
        <f t="shared" si="206"/>
        <v>0.42019721520241832</v>
      </c>
      <c r="AD118" s="179"/>
      <c r="AE118" s="179">
        <f t="shared" si="207"/>
        <v>0.5660377358490567</v>
      </c>
      <c r="AF118" s="563">
        <f t="shared" si="208"/>
        <v>314.07407407407402</v>
      </c>
      <c r="AG118" s="546">
        <f t="shared" si="209"/>
        <v>8.9150943396226423E-2</v>
      </c>
      <c r="AI118" s="179">
        <f t="shared" si="210"/>
        <v>0.28418639088088782</v>
      </c>
      <c r="AJ118" s="179">
        <f t="shared" si="211"/>
        <v>0.3</v>
      </c>
      <c r="AK118" s="179">
        <f t="shared" si="212"/>
        <v>1.1794708994708993</v>
      </c>
      <c r="AM118" s="563">
        <f t="shared" si="213"/>
        <v>80</v>
      </c>
      <c r="AN118" s="472">
        <f t="shared" si="214"/>
        <v>314.07407407407402</v>
      </c>
      <c r="AP118" s="472">
        <f t="shared" si="215"/>
        <v>80</v>
      </c>
      <c r="AQ118" s="472">
        <f t="shared" si="216"/>
        <v>314.07407407407402</v>
      </c>
      <c r="AS118" s="6">
        <f t="shared" si="164"/>
        <v>3.183962264150944</v>
      </c>
      <c r="AT118" s="6">
        <f t="shared" si="217"/>
        <v>0.75</v>
      </c>
      <c r="AU118" s="6">
        <f t="shared" si="218"/>
        <v>2.433962264150944</v>
      </c>
      <c r="AV118" s="6"/>
      <c r="AW118" s="179">
        <f t="shared" si="219"/>
        <v>0.23555555555555552</v>
      </c>
      <c r="AX118" s="179">
        <f t="shared" si="142"/>
        <v>0.42399999999999988</v>
      </c>
      <c r="AY118" s="179">
        <f t="shared" si="143"/>
        <v>0.34399999999999997</v>
      </c>
      <c r="AZ118" s="179">
        <f t="shared" si="167"/>
        <v>1.2325581395348835</v>
      </c>
      <c r="BA118" s="472">
        <f t="shared" si="243"/>
        <v>1.2</v>
      </c>
      <c r="BB118" s="6">
        <f t="shared" si="244"/>
        <v>7.5122292103424193E-2</v>
      </c>
      <c r="BD118" s="179">
        <f t="shared" si="168"/>
        <v>8.4063468086123264E-2</v>
      </c>
      <c r="BE118" s="179">
        <f t="shared" si="146"/>
        <v>0.4543126676640219</v>
      </c>
      <c r="BG118" s="546">
        <f t="shared" si="222"/>
        <v>2.4733333333333326E-3</v>
      </c>
      <c r="BH118" s="546">
        <f t="shared" si="223"/>
        <v>1.971599999999999E-2</v>
      </c>
      <c r="BI118" s="546">
        <f t="shared" si="224"/>
        <v>3.9259259259259256E-3</v>
      </c>
      <c r="BJ118" s="546">
        <f t="shared" si="225"/>
        <v>1.2223919999999997E-2</v>
      </c>
      <c r="BK118">
        <f t="shared" si="226"/>
        <v>3.48E-3</v>
      </c>
      <c r="BM118" s="472">
        <f t="shared" si="227"/>
        <v>41.819179259259244</v>
      </c>
      <c r="BN118" s="546">
        <f t="shared" si="228"/>
        <v>3.2000000000000001E-2</v>
      </c>
      <c r="BQ118" s="472">
        <f t="shared" si="229"/>
        <v>32</v>
      </c>
      <c r="BR118" s="546">
        <f t="shared" si="230"/>
        <v>1.4133333333333331E-3</v>
      </c>
      <c r="BS118" s="546">
        <f t="shared" si="231"/>
        <v>8.2559999999999995E-3</v>
      </c>
      <c r="BT118" s="546">
        <f t="shared" si="232"/>
        <v>4.3087704870956207E-3</v>
      </c>
      <c r="BU118" s="546"/>
      <c r="BV118" s="546">
        <f t="shared" si="233"/>
        <v>2.8266666666666666E-3</v>
      </c>
      <c r="BW118" s="472">
        <f t="shared" si="234"/>
        <v>16.804770487095617</v>
      </c>
      <c r="BX118" s="179">
        <f t="shared" si="235"/>
        <v>9.0623949746354862E-2</v>
      </c>
      <c r="BY118" s="6">
        <f t="shared" si="236"/>
        <v>0.4</v>
      </c>
      <c r="BZ118" s="179">
        <f t="shared" si="237"/>
        <v>0.81528836944628147</v>
      </c>
      <c r="CA118" s="6">
        <f t="shared" si="238"/>
        <v>81.528836944628154</v>
      </c>
      <c r="CD118" s="581">
        <f t="shared" si="239"/>
        <v>-50</v>
      </c>
      <c r="CE118">
        <f t="shared" si="240"/>
        <v>-50</v>
      </c>
    </row>
    <row r="119" spans="5:83" x14ac:dyDescent="0.2">
      <c r="E119" s="176">
        <v>9</v>
      </c>
      <c r="F119" s="223">
        <f t="shared" si="241"/>
        <v>0.09</v>
      </c>
      <c r="G119" s="223"/>
      <c r="H119" s="223">
        <f t="shared" si="190"/>
        <v>0.44999999999999996</v>
      </c>
      <c r="I119" s="559">
        <f t="shared" si="191"/>
        <v>12</v>
      </c>
      <c r="J119" s="454">
        <f t="shared" si="192"/>
        <v>15.899999999999999</v>
      </c>
      <c r="K119" s="454">
        <f t="shared" si="193"/>
        <v>27.9</v>
      </c>
      <c r="L119" s="454"/>
      <c r="M119" s="223">
        <f t="shared" si="194"/>
        <v>0.56989247311827951</v>
      </c>
      <c r="N119" s="178">
        <f t="shared" si="242"/>
        <v>4.6161290322580646</v>
      </c>
      <c r="O119" s="178">
        <f t="shared" si="162"/>
        <v>0.44999999999999996</v>
      </c>
      <c r="P119" s="223">
        <f t="shared" si="195"/>
        <v>0.9232258064516129</v>
      </c>
      <c r="Q119" s="223">
        <f t="shared" si="196"/>
        <v>5</v>
      </c>
      <c r="R119" s="223"/>
      <c r="S119" s="178">
        <f t="shared" si="197"/>
        <v>86.013902742917026</v>
      </c>
      <c r="T119" s="178">
        <f t="shared" si="198"/>
        <v>5</v>
      </c>
      <c r="U119" s="223">
        <f t="shared" si="199"/>
        <v>0.14622641509433962</v>
      </c>
      <c r="V119" s="223">
        <f t="shared" si="200"/>
        <v>0.365566037735849</v>
      </c>
      <c r="W119" s="223">
        <f t="shared" si="201"/>
        <v>0.2758988964044144</v>
      </c>
      <c r="X119" s="203">
        <f t="shared" si="202"/>
        <v>350</v>
      </c>
      <c r="Y119" s="454">
        <f t="shared" si="203"/>
        <v>350</v>
      </c>
      <c r="AA119" s="223">
        <f t="shared" si="204"/>
        <v>0.65130568356374818</v>
      </c>
      <c r="AB119" s="179">
        <f t="shared" si="205"/>
        <v>1.2288786482334872</v>
      </c>
      <c r="AC119" s="179">
        <f t="shared" si="206"/>
        <v>0.42019721520241832</v>
      </c>
      <c r="AD119" s="179"/>
      <c r="AE119" s="179">
        <f t="shared" si="207"/>
        <v>0.5660377358490567</v>
      </c>
      <c r="AF119" s="563">
        <f t="shared" si="208"/>
        <v>353.33333333333326</v>
      </c>
      <c r="AG119" s="546">
        <f t="shared" si="209"/>
        <v>8.9150943396226423E-2</v>
      </c>
      <c r="AI119" s="179">
        <f t="shared" si="210"/>
        <v>0.30142518616920988</v>
      </c>
      <c r="AJ119" s="179">
        <f t="shared" si="211"/>
        <v>0.30142518616920988</v>
      </c>
      <c r="AK119" s="179">
        <f t="shared" si="212"/>
        <v>1.201055693458674</v>
      </c>
      <c r="AM119" s="563">
        <f t="shared" si="213"/>
        <v>90</v>
      </c>
      <c r="AN119" s="472">
        <f t="shared" si="214"/>
        <v>350</v>
      </c>
      <c r="AP119" s="472">
        <f t="shared" si="215"/>
        <v>90</v>
      </c>
      <c r="AQ119" s="472">
        <f t="shared" si="216"/>
        <v>350</v>
      </c>
      <c r="AS119" s="6">
        <f t="shared" si="164"/>
        <v>2.8571428571428572</v>
      </c>
      <c r="AT119" s="6">
        <f t="shared" si="217"/>
        <v>0.75356296542302481</v>
      </c>
      <c r="AU119" s="6">
        <f t="shared" si="218"/>
        <v>2.1035798917198325</v>
      </c>
      <c r="AV119" s="6"/>
      <c r="AW119" s="179">
        <f t="shared" si="219"/>
        <v>0.2637470378980587</v>
      </c>
      <c r="AX119" s="179">
        <f t="shared" si="142"/>
        <v>0.47699999999999987</v>
      </c>
      <c r="AY119" s="179">
        <f t="shared" si="143"/>
        <v>0.33288777925381485</v>
      </c>
      <c r="AZ119" s="179">
        <f t="shared" si="167"/>
        <v>1.4329153238043764</v>
      </c>
      <c r="BA119" s="472">
        <f t="shared" si="243"/>
        <v>1.3564133377614445</v>
      </c>
      <c r="BB119" s="6">
        <f t="shared" si="244"/>
        <v>7.304096846249418E-2</v>
      </c>
      <c r="BD119" s="179">
        <f t="shared" si="168"/>
        <v>8.9374310814036823E-2</v>
      </c>
      <c r="BE119" s="179">
        <f t="shared" si="146"/>
        <v>0.44797491187573435</v>
      </c>
      <c r="BG119" s="546">
        <f t="shared" si="222"/>
        <v>2.7957186017194204E-3</v>
      </c>
      <c r="BH119" s="546">
        <f t="shared" si="223"/>
        <v>2.2075627072067505E-2</v>
      </c>
      <c r="BI119" s="546">
        <f t="shared" si="224"/>
        <v>4.3749999999999995E-3</v>
      </c>
      <c r="BJ119" s="546">
        <f t="shared" si="225"/>
        <v>1.3622175E-2</v>
      </c>
      <c r="BK119">
        <f t="shared" si="226"/>
        <v>3.48E-3</v>
      </c>
      <c r="BM119" s="472">
        <f t="shared" si="227"/>
        <v>46.348520673786922</v>
      </c>
      <c r="BN119" s="546">
        <f t="shared" si="228"/>
        <v>3.5999999999999997E-2</v>
      </c>
      <c r="BQ119" s="472">
        <f t="shared" si="229"/>
        <v>36</v>
      </c>
      <c r="BR119" s="546">
        <f t="shared" si="230"/>
        <v>1.597553486696812E-3</v>
      </c>
      <c r="BS119" s="546">
        <f t="shared" si="231"/>
        <v>8.0272608668028773E-3</v>
      </c>
      <c r="BT119" s="546">
        <f t="shared" si="232"/>
        <v>5.7159570886242588E-3</v>
      </c>
      <c r="BU119" s="546"/>
      <c r="BV119" s="546">
        <f t="shared" si="233"/>
        <v>3.1799999999999997E-3</v>
      </c>
      <c r="BW119" s="472">
        <f t="shared" si="234"/>
        <v>18.520771442123948</v>
      </c>
      <c r="BX119" s="179">
        <f t="shared" si="235"/>
        <v>0.10086929211591086</v>
      </c>
      <c r="BY119" s="6">
        <f t="shared" si="236"/>
        <v>0.44999999999999996</v>
      </c>
      <c r="BZ119" s="179">
        <f t="shared" si="237"/>
        <v>0.81689069701368189</v>
      </c>
      <c r="CA119" s="6">
        <f t="shared" si="238"/>
        <v>81.689069701368183</v>
      </c>
      <c r="CD119" s="581">
        <f t="shared" si="239"/>
        <v>-50</v>
      </c>
      <c r="CE119">
        <f t="shared" si="240"/>
        <v>-50</v>
      </c>
    </row>
    <row r="120" spans="5:83" x14ac:dyDescent="0.2">
      <c r="E120" s="176">
        <v>10</v>
      </c>
      <c r="F120" s="223">
        <f t="shared" si="241"/>
        <v>0.1</v>
      </c>
      <c r="G120" s="223"/>
      <c r="H120" s="223">
        <f t="shared" si="190"/>
        <v>0.5</v>
      </c>
      <c r="I120" s="559">
        <f t="shared" si="191"/>
        <v>12</v>
      </c>
      <c r="J120" s="454">
        <f t="shared" si="192"/>
        <v>15.899999999999999</v>
      </c>
      <c r="K120" s="454">
        <f t="shared" si="193"/>
        <v>27.9</v>
      </c>
      <c r="L120" s="454"/>
      <c r="M120" s="223">
        <f t="shared" si="194"/>
        <v>0.56989247311827951</v>
      </c>
      <c r="N120" s="178">
        <f t="shared" si="242"/>
        <v>4.6161290322580646</v>
      </c>
      <c r="O120" s="178">
        <f t="shared" si="162"/>
        <v>0.5</v>
      </c>
      <c r="P120" s="223">
        <f t="shared" si="195"/>
        <v>0.9232258064516129</v>
      </c>
      <c r="Q120" s="223">
        <f t="shared" si="196"/>
        <v>5</v>
      </c>
      <c r="R120" s="223"/>
      <c r="S120" s="178">
        <f t="shared" si="197"/>
        <v>77.01552081635522</v>
      </c>
      <c r="T120" s="178">
        <f t="shared" si="198"/>
        <v>5</v>
      </c>
      <c r="U120" s="223">
        <f t="shared" si="199"/>
        <v>0.16247379454926625</v>
      </c>
      <c r="V120" s="223">
        <f t="shared" si="200"/>
        <v>0.40618448637316568</v>
      </c>
      <c r="W120" s="223">
        <f t="shared" si="201"/>
        <v>0.30655432933823823</v>
      </c>
      <c r="X120" s="203">
        <f t="shared" si="202"/>
        <v>350</v>
      </c>
      <c r="Y120" s="454">
        <f t="shared" si="203"/>
        <v>350</v>
      </c>
      <c r="AA120" s="223">
        <f t="shared" si="204"/>
        <v>0.65130568356374818</v>
      </c>
      <c r="AB120" s="179">
        <f t="shared" si="205"/>
        <v>1.2288786482334872</v>
      </c>
      <c r="AC120" s="179">
        <f t="shared" si="206"/>
        <v>0.42019721520241832</v>
      </c>
      <c r="AD120" s="179"/>
      <c r="AE120" s="179">
        <f t="shared" si="207"/>
        <v>0.5660377358490567</v>
      </c>
      <c r="AF120" s="563">
        <f t="shared" si="208"/>
        <v>392.59259259259255</v>
      </c>
      <c r="AG120" s="546">
        <f t="shared" si="209"/>
        <v>8.9150943396226423E-2</v>
      </c>
      <c r="AI120" s="179">
        <f t="shared" si="210"/>
        <v>0.31773004414499573</v>
      </c>
      <c r="AJ120" s="179">
        <f t="shared" si="211"/>
        <v>0.31773004414499573</v>
      </c>
      <c r="AK120" s="179">
        <f t="shared" si="212"/>
        <v>1.2131333660333301</v>
      </c>
      <c r="AM120" s="563">
        <f t="shared" si="213"/>
        <v>100</v>
      </c>
      <c r="AN120" s="472">
        <f t="shared" si="214"/>
        <v>350</v>
      </c>
      <c r="AP120" s="472">
        <f t="shared" si="215"/>
        <v>100</v>
      </c>
      <c r="AQ120" s="472">
        <f t="shared" si="216"/>
        <v>350</v>
      </c>
      <c r="AS120" s="6">
        <f t="shared" si="164"/>
        <v>2.8571428571428572</v>
      </c>
      <c r="AT120" s="6">
        <f t="shared" si="217"/>
        <v>0.79432511036248932</v>
      </c>
      <c r="AU120" s="6">
        <f t="shared" si="218"/>
        <v>2.0628177467803681</v>
      </c>
      <c r="AV120" s="6"/>
      <c r="AW120" s="179">
        <f t="shared" si="219"/>
        <v>0.27801378862687126</v>
      </c>
      <c r="AX120" s="179">
        <f t="shared" si="142"/>
        <v>0.52999999999999992</v>
      </c>
      <c r="AY120" s="179">
        <f t="shared" si="143"/>
        <v>0.34409506621749364</v>
      </c>
      <c r="AZ120" s="179">
        <f t="shared" si="167"/>
        <v>1.5402720121101665</v>
      </c>
      <c r="BA120" s="472">
        <f t="shared" si="243"/>
        <v>1.5886502207249786</v>
      </c>
      <c r="BB120" s="6">
        <f t="shared" si="244"/>
        <v>7.9584018008501844E-2</v>
      </c>
      <c r="BD120" s="179">
        <f t="shared" si="168"/>
        <v>9.6723237296723108E-2</v>
      </c>
      <c r="BE120" s="179">
        <f t="shared" si="146"/>
        <v>0.46760953920842863</v>
      </c>
      <c r="BG120" s="546">
        <f t="shared" si="222"/>
        <v>3.2743846216053726E-3</v>
      </c>
      <c r="BH120" s="546">
        <f t="shared" si="223"/>
        <v>2.326975410806912E-2</v>
      </c>
      <c r="BI120" s="546">
        <f t="shared" si="224"/>
        <v>4.3749999999999995E-3</v>
      </c>
      <c r="BJ120" s="546">
        <f t="shared" si="225"/>
        <v>1.3622175E-2</v>
      </c>
      <c r="BK120">
        <f t="shared" si="226"/>
        <v>3.48E-3</v>
      </c>
      <c r="BM120" s="472">
        <f t="shared" si="227"/>
        <v>48.021313729674489</v>
      </c>
      <c r="BN120" s="546">
        <f t="shared" si="228"/>
        <v>4.0000000000000008E-2</v>
      </c>
      <c r="BQ120" s="472">
        <f t="shared" si="229"/>
        <v>40.000000000000007</v>
      </c>
      <c r="BR120" s="546">
        <f t="shared" si="230"/>
        <v>1.8710769266316416E-3</v>
      </c>
      <c r="BS120" s="546">
        <f t="shared" si="231"/>
        <v>8.7463472463487589E-3</v>
      </c>
      <c r="BT120" s="546">
        <f t="shared" si="232"/>
        <v>6.520573925011942E-3</v>
      </c>
      <c r="BU120" s="546"/>
      <c r="BV120" s="546">
        <f t="shared" si="233"/>
        <v>3.5333333333333328E-3</v>
      </c>
      <c r="BW120" s="472">
        <f t="shared" si="234"/>
        <v>20.671331431325676</v>
      </c>
      <c r="BX120" s="179">
        <f t="shared" si="235"/>
        <v>0.10869264516100019</v>
      </c>
      <c r="BY120" s="6">
        <f t="shared" si="236"/>
        <v>0.5</v>
      </c>
      <c r="BZ120" s="179">
        <f t="shared" si="237"/>
        <v>0.82143262938186024</v>
      </c>
      <c r="CA120" s="6">
        <f t="shared" si="238"/>
        <v>82.143262938186027</v>
      </c>
      <c r="CD120" s="581">
        <f t="shared" si="239"/>
        <v>-50</v>
      </c>
      <c r="CE120">
        <f t="shared" si="240"/>
        <v>-50</v>
      </c>
    </row>
    <row r="121" spans="5:83" x14ac:dyDescent="0.2">
      <c r="E121" s="176">
        <v>11</v>
      </c>
      <c r="F121" s="223">
        <f t="shared" si="241"/>
        <v>0.11</v>
      </c>
      <c r="G121" s="223"/>
      <c r="H121" s="223">
        <f t="shared" si="190"/>
        <v>0.55000000000000004</v>
      </c>
      <c r="I121" s="559">
        <f t="shared" si="191"/>
        <v>12</v>
      </c>
      <c r="J121" s="454">
        <f t="shared" si="192"/>
        <v>15.899999999999999</v>
      </c>
      <c r="K121" s="454">
        <f t="shared" si="193"/>
        <v>27.9</v>
      </c>
      <c r="L121" s="454"/>
      <c r="M121" s="223">
        <f t="shared" si="194"/>
        <v>0.56989247311827951</v>
      </c>
      <c r="N121" s="178">
        <f t="shared" si="242"/>
        <v>4.6161290322580646</v>
      </c>
      <c r="O121" s="178">
        <f t="shared" si="162"/>
        <v>0.55000000000000004</v>
      </c>
      <c r="P121" s="223">
        <f t="shared" si="195"/>
        <v>0.9232258064516129</v>
      </c>
      <c r="Q121" s="223">
        <f t="shared" si="196"/>
        <v>5</v>
      </c>
      <c r="R121" s="223"/>
      <c r="S121" s="178">
        <f t="shared" si="197"/>
        <v>69.653517884445662</v>
      </c>
      <c r="T121" s="178">
        <f t="shared" si="198"/>
        <v>5</v>
      </c>
      <c r="U121" s="223">
        <f t="shared" si="199"/>
        <v>0.17872117400419291</v>
      </c>
      <c r="V121" s="223">
        <f t="shared" si="200"/>
        <v>0.44680293501048229</v>
      </c>
      <c r="W121" s="223">
        <f t="shared" si="201"/>
        <v>0.33720976227206212</v>
      </c>
      <c r="X121" s="203">
        <f t="shared" si="202"/>
        <v>350</v>
      </c>
      <c r="Y121" s="454">
        <f t="shared" si="203"/>
        <v>350</v>
      </c>
      <c r="AA121" s="223">
        <f t="shared" si="204"/>
        <v>0.65130568356374818</v>
      </c>
      <c r="AB121" s="179">
        <f t="shared" si="205"/>
        <v>1.2288786482334872</v>
      </c>
      <c r="AC121" s="179">
        <f t="shared" si="206"/>
        <v>0.42019721520241832</v>
      </c>
      <c r="AD121" s="179"/>
      <c r="AE121" s="179">
        <f t="shared" si="207"/>
        <v>0.5660377358490567</v>
      </c>
      <c r="AF121" s="563">
        <f t="shared" si="208"/>
        <v>431.85185185185179</v>
      </c>
      <c r="AG121" s="546">
        <f t="shared" si="209"/>
        <v>8.9150943396226423E-2</v>
      </c>
      <c r="AI121" s="179">
        <f t="shared" si="210"/>
        <v>0.33323808162876439</v>
      </c>
      <c r="AJ121" s="179">
        <f t="shared" si="211"/>
        <v>0.33323808162876439</v>
      </c>
      <c r="AK121" s="179">
        <f t="shared" si="212"/>
        <v>1.2246208012064921</v>
      </c>
      <c r="AM121" s="563">
        <f t="shared" si="213"/>
        <v>110</v>
      </c>
      <c r="AN121" s="472">
        <f t="shared" si="214"/>
        <v>350</v>
      </c>
      <c r="AP121" s="472">
        <f t="shared" si="215"/>
        <v>110</v>
      </c>
      <c r="AQ121" s="472">
        <f t="shared" si="216"/>
        <v>350</v>
      </c>
      <c r="AS121" s="6">
        <f t="shared" si="164"/>
        <v>2.8571428571428572</v>
      </c>
      <c r="AT121" s="6">
        <f t="shared" si="217"/>
        <v>0.83309520407191107</v>
      </c>
      <c r="AU121" s="6">
        <f t="shared" si="218"/>
        <v>2.0240476530709461</v>
      </c>
      <c r="AV121" s="6"/>
      <c r="AW121" s="179">
        <f t="shared" si="219"/>
        <v>0.29158332142516885</v>
      </c>
      <c r="AX121" s="179">
        <f t="shared" si="142"/>
        <v>0.58299999999999996</v>
      </c>
      <c r="AY121" s="179">
        <f t="shared" si="143"/>
        <v>0.35410712244314663</v>
      </c>
      <c r="AZ121" s="179">
        <f t="shared" si="167"/>
        <v>1.6463944469052667</v>
      </c>
      <c r="BA121" s="472">
        <f t="shared" si="243"/>
        <v>1.8328094489582045</v>
      </c>
      <c r="BB121" s="6">
        <f t="shared" si="244"/>
        <v>8.5897084042362667E-2</v>
      </c>
      <c r="BD121" s="179">
        <f t="shared" si="168"/>
        <v>0.10389038068762928</v>
      </c>
      <c r="BE121" s="179">
        <f t="shared" si="146"/>
        <v>0.48580238404939136</v>
      </c>
      <c r="BG121" s="546">
        <f t="shared" si="222"/>
        <v>3.7776239197971867E-3</v>
      </c>
      <c r="BH121" s="546">
        <f t="shared" si="223"/>
        <v>2.4405524003286629E-2</v>
      </c>
      <c r="BI121" s="546">
        <f t="shared" si="224"/>
        <v>4.3749999999999995E-3</v>
      </c>
      <c r="BJ121" s="546">
        <f t="shared" si="225"/>
        <v>1.3622175E-2</v>
      </c>
      <c r="BK121">
        <f t="shared" si="226"/>
        <v>3.48E-3</v>
      </c>
      <c r="BM121" s="472">
        <f t="shared" si="227"/>
        <v>49.660322923083811</v>
      </c>
      <c r="BN121" s="546">
        <f t="shared" si="228"/>
        <v>4.4000000000000004E-2</v>
      </c>
      <c r="BQ121" s="472">
        <f t="shared" si="229"/>
        <v>44.000000000000007</v>
      </c>
      <c r="BR121" s="546">
        <f t="shared" si="230"/>
        <v>2.158642239884107E-3</v>
      </c>
      <c r="BS121" s="546">
        <f t="shared" si="231"/>
        <v>9.4401582539228937E-3</v>
      </c>
      <c r="BT121" s="546">
        <f t="shared" si="232"/>
        <v>7.3455899190209995E-3</v>
      </c>
      <c r="BU121" s="546"/>
      <c r="BV121" s="546">
        <f t="shared" si="233"/>
        <v>3.8866666666666672E-3</v>
      </c>
      <c r="BW121" s="472">
        <f t="shared" si="234"/>
        <v>22.831057079494666</v>
      </c>
      <c r="BX121" s="179">
        <f t="shared" si="235"/>
        <v>0.11649138000257847</v>
      </c>
      <c r="BY121" s="6">
        <f t="shared" si="236"/>
        <v>0.55000000000000004</v>
      </c>
      <c r="BZ121" s="179">
        <f t="shared" si="237"/>
        <v>0.82521697429585994</v>
      </c>
      <c r="CA121" s="6">
        <f t="shared" si="238"/>
        <v>82.521697429585998</v>
      </c>
      <c r="CD121" s="581">
        <f t="shared" si="239"/>
        <v>-50</v>
      </c>
      <c r="CE121">
        <f t="shared" si="240"/>
        <v>-50</v>
      </c>
    </row>
    <row r="122" spans="5:83" x14ac:dyDescent="0.2">
      <c r="E122" s="176">
        <v>12</v>
      </c>
      <c r="F122" s="223">
        <f t="shared" si="241"/>
        <v>0.12</v>
      </c>
      <c r="G122" s="223"/>
      <c r="H122" s="223">
        <f t="shared" si="190"/>
        <v>0.6</v>
      </c>
      <c r="I122" s="559">
        <f t="shared" si="191"/>
        <v>12</v>
      </c>
      <c r="J122" s="454">
        <f t="shared" si="192"/>
        <v>15.899999999999999</v>
      </c>
      <c r="K122" s="454">
        <f t="shared" si="193"/>
        <v>27.9</v>
      </c>
      <c r="L122" s="454"/>
      <c r="M122" s="223">
        <f t="shared" si="194"/>
        <v>0.56989247311827951</v>
      </c>
      <c r="N122" s="178">
        <f t="shared" si="242"/>
        <v>4.6161290322580646</v>
      </c>
      <c r="O122" s="178">
        <f t="shared" si="162"/>
        <v>0.6</v>
      </c>
      <c r="P122" s="223">
        <f t="shared" si="195"/>
        <v>0.9232258064516129</v>
      </c>
      <c r="Q122" s="223">
        <f t="shared" si="196"/>
        <v>5</v>
      </c>
      <c r="R122" s="223"/>
      <c r="S122" s="178">
        <f t="shared" si="197"/>
        <v>63.51880323571045</v>
      </c>
      <c r="T122" s="178">
        <f t="shared" si="198"/>
        <v>5</v>
      </c>
      <c r="U122" s="223">
        <f t="shared" si="199"/>
        <v>0.19496855345911951</v>
      </c>
      <c r="V122" s="223">
        <f t="shared" si="200"/>
        <v>0.4874213836477988</v>
      </c>
      <c r="W122" s="223">
        <f t="shared" si="201"/>
        <v>0.36786519520588595</v>
      </c>
      <c r="X122" s="203">
        <f t="shared" si="202"/>
        <v>350</v>
      </c>
      <c r="Y122" s="454">
        <f t="shared" si="203"/>
        <v>350</v>
      </c>
      <c r="AA122" s="223">
        <f t="shared" si="204"/>
        <v>0.65130568356374818</v>
      </c>
      <c r="AB122" s="179">
        <f t="shared" si="205"/>
        <v>1.2288786482334872</v>
      </c>
      <c r="AC122" s="179">
        <f t="shared" si="206"/>
        <v>0.42019721520241832</v>
      </c>
      <c r="AD122" s="179"/>
      <c r="AE122" s="179">
        <f t="shared" si="207"/>
        <v>0.5660377358490567</v>
      </c>
      <c r="AF122" s="563">
        <f t="shared" si="208"/>
        <v>471.11111111111103</v>
      </c>
      <c r="AG122" s="546">
        <f t="shared" si="209"/>
        <v>8.9150943396226423E-2</v>
      </c>
      <c r="AI122" s="179">
        <f t="shared" si="210"/>
        <v>0.34805582475065278</v>
      </c>
      <c r="AJ122" s="179">
        <f t="shared" si="211"/>
        <v>0.34805582475065278</v>
      </c>
      <c r="AK122" s="179">
        <f t="shared" si="212"/>
        <v>1.2355969072227058</v>
      </c>
      <c r="AM122" s="563">
        <f t="shared" si="213"/>
        <v>120</v>
      </c>
      <c r="AN122" s="472">
        <f t="shared" si="214"/>
        <v>350</v>
      </c>
      <c r="AP122" s="472">
        <f t="shared" si="215"/>
        <v>120</v>
      </c>
      <c r="AQ122" s="472">
        <f t="shared" si="216"/>
        <v>350</v>
      </c>
      <c r="AS122" s="6">
        <f t="shared" si="164"/>
        <v>2.8571428571428572</v>
      </c>
      <c r="AT122" s="6">
        <f t="shared" si="217"/>
        <v>0.870139561876632</v>
      </c>
      <c r="AU122" s="6">
        <f t="shared" si="218"/>
        <v>1.9870032952662253</v>
      </c>
      <c r="AV122" s="6"/>
      <c r="AW122" s="179">
        <f t="shared" si="219"/>
        <v>0.30454884665682119</v>
      </c>
      <c r="AX122" s="179">
        <f t="shared" si="142"/>
        <v>0.6359999999999999</v>
      </c>
      <c r="AY122" s="179">
        <f t="shared" si="143"/>
        <v>0.36308373712597924</v>
      </c>
      <c r="AZ122" s="179">
        <f t="shared" si="167"/>
        <v>1.7516620409228818</v>
      </c>
      <c r="BA122" s="472">
        <f t="shared" si="243"/>
        <v>2.0883349485039169</v>
      </c>
      <c r="BB122" s="6">
        <f t="shared" si="244"/>
        <v>9.1990893299362275E-2</v>
      </c>
      <c r="BD122" s="179">
        <f t="shared" si="168"/>
        <v>0.110896223896592</v>
      </c>
      <c r="BE122" s="179">
        <f t="shared" si="146"/>
        <v>0.502739315309499</v>
      </c>
      <c r="BG122" s="546">
        <f t="shared" si="222"/>
        <v>4.3042903660830715E-3</v>
      </c>
      <c r="BH122" s="546">
        <f t="shared" si="223"/>
        <v>2.5490738465175928E-2</v>
      </c>
      <c r="BI122" s="546">
        <f t="shared" si="224"/>
        <v>4.3749999999999995E-3</v>
      </c>
      <c r="BJ122" s="546">
        <f t="shared" si="225"/>
        <v>1.3622175E-2</v>
      </c>
      <c r="BK122">
        <f t="shared" si="226"/>
        <v>3.48E-3</v>
      </c>
      <c r="BM122" s="472">
        <f t="shared" si="227"/>
        <v>51.272203831258992</v>
      </c>
      <c r="BN122" s="546">
        <f t="shared" si="228"/>
        <v>4.8000000000000001E-2</v>
      </c>
      <c r="BQ122" s="472">
        <f t="shared" si="229"/>
        <v>48</v>
      </c>
      <c r="BR122" s="546">
        <f t="shared" si="230"/>
        <v>2.4595944949046128E-3</v>
      </c>
      <c r="BS122" s="546">
        <f t="shared" si="231"/>
        <v>1.0109872766314554E-2</v>
      </c>
      <c r="BT122" s="546">
        <f t="shared" si="232"/>
        <v>8.1895941587056785E-3</v>
      </c>
      <c r="BU122" s="546"/>
      <c r="BV122" s="546">
        <f t="shared" si="233"/>
        <v>4.2399999999999998E-3</v>
      </c>
      <c r="BW122" s="472">
        <f t="shared" si="234"/>
        <v>24.999061419924846</v>
      </c>
      <c r="BX122" s="179">
        <f t="shared" si="235"/>
        <v>0.12427126525118384</v>
      </c>
      <c r="BY122" s="6">
        <f t="shared" si="236"/>
        <v>0.6</v>
      </c>
      <c r="BZ122" s="179">
        <f t="shared" si="237"/>
        <v>0.82841889328843465</v>
      </c>
      <c r="CA122" s="6">
        <f t="shared" si="238"/>
        <v>82.841889328843465</v>
      </c>
      <c r="CD122" s="581">
        <f t="shared" si="239"/>
        <v>-50</v>
      </c>
      <c r="CE122">
        <f t="shared" si="240"/>
        <v>-50</v>
      </c>
    </row>
    <row r="123" spans="5:83" x14ac:dyDescent="0.2">
      <c r="E123" s="176">
        <v>13</v>
      </c>
      <c r="F123" s="223">
        <f t="shared" si="241"/>
        <v>0.13</v>
      </c>
      <c r="G123" s="223"/>
      <c r="H123" s="223">
        <f t="shared" si="190"/>
        <v>0.65</v>
      </c>
      <c r="I123" s="559">
        <f t="shared" si="191"/>
        <v>12</v>
      </c>
      <c r="J123" s="454">
        <f t="shared" si="192"/>
        <v>15.899999999999999</v>
      </c>
      <c r="K123" s="454">
        <f t="shared" si="193"/>
        <v>27.9</v>
      </c>
      <c r="L123" s="454"/>
      <c r="M123" s="223">
        <f t="shared" si="194"/>
        <v>0.56989247311827951</v>
      </c>
      <c r="N123" s="178">
        <f t="shared" si="242"/>
        <v>4.6161290322580646</v>
      </c>
      <c r="O123" s="178">
        <f t="shared" si="162"/>
        <v>0.65</v>
      </c>
      <c r="P123" s="223">
        <f t="shared" si="195"/>
        <v>0.9232258064516129</v>
      </c>
      <c r="Q123" s="223">
        <f t="shared" si="196"/>
        <v>5</v>
      </c>
      <c r="R123" s="223"/>
      <c r="S123" s="178">
        <f t="shared" si="197"/>
        <v>58.328160287484188</v>
      </c>
      <c r="T123" s="178">
        <f t="shared" si="198"/>
        <v>5</v>
      </c>
      <c r="U123" s="223">
        <f t="shared" si="199"/>
        <v>0.21121593291404614</v>
      </c>
      <c r="V123" s="223">
        <f t="shared" si="200"/>
        <v>0.52803983228511531</v>
      </c>
      <c r="W123" s="223">
        <f t="shared" si="201"/>
        <v>0.39852062813970979</v>
      </c>
      <c r="X123" s="203">
        <f t="shared" si="202"/>
        <v>350</v>
      </c>
      <c r="Y123" s="454">
        <f t="shared" si="203"/>
        <v>350</v>
      </c>
      <c r="AA123" s="223">
        <f t="shared" si="204"/>
        <v>0.65130568356374818</v>
      </c>
      <c r="AB123" s="179">
        <f t="shared" si="205"/>
        <v>1.2288786482334872</v>
      </c>
      <c r="AC123" s="179">
        <f t="shared" si="206"/>
        <v>0.42019721520241832</v>
      </c>
      <c r="AD123" s="179"/>
      <c r="AE123" s="179">
        <f t="shared" si="207"/>
        <v>0.5660377358490567</v>
      </c>
      <c r="AF123" s="563">
        <f t="shared" si="208"/>
        <v>510.37037037037027</v>
      </c>
      <c r="AG123" s="546">
        <f t="shared" si="209"/>
        <v>8.9150943396226423E-2</v>
      </c>
      <c r="AI123" s="179">
        <f t="shared" si="210"/>
        <v>0.36226798814978839</v>
      </c>
      <c r="AJ123" s="179">
        <f t="shared" si="211"/>
        <v>0.36226798814978839</v>
      </c>
      <c r="AK123" s="179">
        <f t="shared" si="212"/>
        <v>1.24612443566651</v>
      </c>
      <c r="AM123" s="563">
        <f t="shared" si="213"/>
        <v>130</v>
      </c>
      <c r="AN123" s="472">
        <f t="shared" si="214"/>
        <v>350</v>
      </c>
      <c r="AP123" s="472">
        <f t="shared" si="215"/>
        <v>130</v>
      </c>
      <c r="AQ123" s="472">
        <f t="shared" si="216"/>
        <v>350</v>
      </c>
      <c r="AS123" s="6">
        <f t="shared" si="164"/>
        <v>2.8571428571428572</v>
      </c>
      <c r="AT123" s="6">
        <f t="shared" si="217"/>
        <v>0.90566997037447106</v>
      </c>
      <c r="AU123" s="6">
        <f t="shared" si="218"/>
        <v>1.9514728867683862</v>
      </c>
      <c r="AV123" s="6"/>
      <c r="AW123" s="179">
        <f t="shared" si="219"/>
        <v>0.31698448963106485</v>
      </c>
      <c r="AX123" s="179">
        <f t="shared" si="142"/>
        <v>0.68899999999999983</v>
      </c>
      <c r="AY123" s="179">
        <f t="shared" si="143"/>
        <v>0.3711519822246826</v>
      </c>
      <c r="AZ123" s="179">
        <f t="shared" si="167"/>
        <v>1.8563823797198611</v>
      </c>
      <c r="BA123" s="472">
        <f t="shared" si="243"/>
        <v>2.3547419229736253</v>
      </c>
      <c r="BB123" s="6">
        <f t="shared" si="244"/>
        <v>9.7874797561686017E-2</v>
      </c>
      <c r="BD123" s="179">
        <f t="shared" si="168"/>
        <v>0.11775743520644559</v>
      </c>
      <c r="BE123" s="179">
        <f t="shared" si="146"/>
        <v>0.51856818625585166</v>
      </c>
      <c r="BG123" s="546">
        <f t="shared" si="222"/>
        <v>4.8533847412400802E-3</v>
      </c>
      <c r="BH123" s="546">
        <f t="shared" si="223"/>
        <v>2.6531601782120124E-2</v>
      </c>
      <c r="BI123" s="546">
        <f t="shared" si="224"/>
        <v>4.3749999999999995E-3</v>
      </c>
      <c r="BJ123" s="546">
        <f t="shared" si="225"/>
        <v>1.3622175E-2</v>
      </c>
      <c r="BK123">
        <f t="shared" si="226"/>
        <v>3.48E-3</v>
      </c>
      <c r="BM123" s="472">
        <f t="shared" si="227"/>
        <v>52.8621615233602</v>
      </c>
      <c r="BN123" s="546">
        <f t="shared" si="228"/>
        <v>5.2000000000000005E-2</v>
      </c>
      <c r="BQ123" s="472">
        <f t="shared" si="229"/>
        <v>52.000000000000007</v>
      </c>
      <c r="BR123" s="546">
        <f t="shared" si="230"/>
        <v>2.7733627092800463E-3</v>
      </c>
      <c r="BS123" s="546">
        <f t="shared" si="231"/>
        <v>1.0756518551867347E-2</v>
      </c>
      <c r="BT123" s="546">
        <f t="shared" si="232"/>
        <v>9.0513844866132454E-3</v>
      </c>
      <c r="BU123" s="546"/>
      <c r="BV123" s="546">
        <f t="shared" si="233"/>
        <v>4.5933333333333321E-3</v>
      </c>
      <c r="BW123" s="472">
        <f t="shared" si="234"/>
        <v>27.174599081093969</v>
      </c>
      <c r="BX123" s="179">
        <f t="shared" si="235"/>
        <v>0.13203676060445418</v>
      </c>
      <c r="BY123" s="6">
        <f t="shared" si="236"/>
        <v>0.65</v>
      </c>
      <c r="BZ123" s="179">
        <f t="shared" si="237"/>
        <v>0.83116297435634612</v>
      </c>
      <c r="CA123" s="6">
        <f t="shared" si="238"/>
        <v>83.116297435634607</v>
      </c>
      <c r="CD123" s="581">
        <f t="shared" si="239"/>
        <v>-50</v>
      </c>
      <c r="CE123">
        <f t="shared" si="240"/>
        <v>-50</v>
      </c>
    </row>
    <row r="124" spans="5:83" x14ac:dyDescent="0.2">
      <c r="E124" s="176">
        <v>14</v>
      </c>
      <c r="F124" s="223">
        <f t="shared" si="241"/>
        <v>0.14000000000000001</v>
      </c>
      <c r="G124" s="223"/>
      <c r="H124" s="223">
        <f t="shared" si="190"/>
        <v>0.70000000000000007</v>
      </c>
      <c r="I124" s="559">
        <f t="shared" si="191"/>
        <v>12</v>
      </c>
      <c r="J124" s="454">
        <f t="shared" si="192"/>
        <v>15.899999999999999</v>
      </c>
      <c r="K124" s="454">
        <f t="shared" si="193"/>
        <v>27.9</v>
      </c>
      <c r="L124" s="454"/>
      <c r="M124" s="223">
        <f t="shared" si="194"/>
        <v>0.56989247311827951</v>
      </c>
      <c r="N124" s="178">
        <f t="shared" si="242"/>
        <v>4.6161290322580646</v>
      </c>
      <c r="O124" s="178">
        <f t="shared" si="162"/>
        <v>0.70000000000000007</v>
      </c>
      <c r="P124" s="223">
        <f t="shared" si="195"/>
        <v>0.9232258064516129</v>
      </c>
      <c r="Q124" s="223">
        <f t="shared" si="196"/>
        <v>5</v>
      </c>
      <c r="R124" s="223"/>
      <c r="S124" s="178">
        <f t="shared" si="197"/>
        <v>53.879291541000995</v>
      </c>
      <c r="T124" s="178">
        <f t="shared" si="198"/>
        <v>5</v>
      </c>
      <c r="U124" s="223">
        <f t="shared" si="199"/>
        <v>0.2274633123689728</v>
      </c>
      <c r="V124" s="223">
        <f t="shared" si="200"/>
        <v>0.56865828092243198</v>
      </c>
      <c r="W124" s="223">
        <f t="shared" si="201"/>
        <v>0.42917606107353362</v>
      </c>
      <c r="X124" s="203">
        <f t="shared" si="202"/>
        <v>350</v>
      </c>
      <c r="Y124" s="454">
        <f t="shared" si="203"/>
        <v>350</v>
      </c>
      <c r="AA124" s="223">
        <f t="shared" si="204"/>
        <v>0.65130568356374818</v>
      </c>
      <c r="AB124" s="179">
        <f t="shared" si="205"/>
        <v>1.2288786482334872</v>
      </c>
      <c r="AC124" s="179">
        <f t="shared" si="206"/>
        <v>0.42019721520241832</v>
      </c>
      <c r="AD124" s="179"/>
      <c r="AE124" s="179">
        <f t="shared" si="207"/>
        <v>0.5660377358490567</v>
      </c>
      <c r="AF124" s="563">
        <f t="shared" si="208"/>
        <v>549.62962962962956</v>
      </c>
      <c r="AG124" s="546">
        <f t="shared" si="209"/>
        <v>8.9150943396226423E-2</v>
      </c>
      <c r="AI124" s="179">
        <f t="shared" si="210"/>
        <v>0.37594325812991158</v>
      </c>
      <c r="AJ124" s="179">
        <f t="shared" si="211"/>
        <v>0.37594325812991158</v>
      </c>
      <c r="AK124" s="179">
        <f t="shared" si="212"/>
        <v>1.2562542652814159</v>
      </c>
      <c r="AM124" s="563">
        <f t="shared" si="213"/>
        <v>140</v>
      </c>
      <c r="AN124" s="472">
        <f t="shared" si="214"/>
        <v>350</v>
      </c>
      <c r="AP124" s="472">
        <f t="shared" si="215"/>
        <v>140</v>
      </c>
      <c r="AQ124" s="472">
        <f t="shared" si="216"/>
        <v>350</v>
      </c>
      <c r="AS124" s="6">
        <f t="shared" si="164"/>
        <v>2.8571428571428572</v>
      </c>
      <c r="AT124" s="6">
        <f t="shared" si="217"/>
        <v>0.93985814532477896</v>
      </c>
      <c r="AU124" s="6">
        <f t="shared" si="218"/>
        <v>1.9172847118180782</v>
      </c>
      <c r="AV124" s="6"/>
      <c r="AW124" s="179">
        <f t="shared" si="219"/>
        <v>0.32895035086367264</v>
      </c>
      <c r="AX124" s="179">
        <f t="shared" si="142"/>
        <v>0.74199999999999999</v>
      </c>
      <c r="AY124" s="179">
        <f t="shared" si="143"/>
        <v>0.37841488719486738</v>
      </c>
      <c r="AZ124" s="179">
        <f t="shared" si="167"/>
        <v>1.9608108060978635</v>
      </c>
      <c r="BA124" s="472">
        <f t="shared" si="243"/>
        <v>2.6316028069093811</v>
      </c>
      <c r="BB124" s="6">
        <f t="shared" si="244"/>
        <v>0.10355704461980358</v>
      </c>
      <c r="BD124" s="179">
        <f t="shared" si="168"/>
        <v>0.12448781679175464</v>
      </c>
      <c r="BE124" s="179">
        <f t="shared" si="146"/>
        <v>0.53340889684537773</v>
      </c>
      <c r="BG124" s="546">
        <f t="shared" si="222"/>
        <v>5.4240257853521139E-3</v>
      </c>
      <c r="BH124" s="546">
        <f t="shared" si="223"/>
        <v>2.7533144367289399E-2</v>
      </c>
      <c r="BI124" s="546">
        <f t="shared" si="224"/>
        <v>4.3749999999999995E-3</v>
      </c>
      <c r="BJ124" s="546">
        <f t="shared" si="225"/>
        <v>1.3622175E-2</v>
      </c>
      <c r="BK124">
        <f t="shared" si="226"/>
        <v>3.48E-3</v>
      </c>
      <c r="BM124" s="472">
        <f t="shared" si="227"/>
        <v>54.434345152641505</v>
      </c>
      <c r="BN124" s="546">
        <f t="shared" si="228"/>
        <v>5.6000000000000008E-2</v>
      </c>
      <c r="BQ124" s="472">
        <f t="shared" si="229"/>
        <v>56.000000000000007</v>
      </c>
      <c r="BR124" s="546">
        <f t="shared" si="230"/>
        <v>3.0994433059154938E-3</v>
      </c>
      <c r="BS124" s="546">
        <f t="shared" si="231"/>
        <v>1.1381002049352114E-2</v>
      </c>
      <c r="BT124" s="546">
        <f t="shared" si="232"/>
        <v>9.9299226961701882E-3</v>
      </c>
      <c r="BU124" s="546"/>
      <c r="BV124" s="546">
        <f t="shared" si="233"/>
        <v>4.9466666666666678E-3</v>
      </c>
      <c r="BW124" s="472">
        <f t="shared" si="234"/>
        <v>29.357034718104465</v>
      </c>
      <c r="BX124" s="179">
        <f t="shared" si="235"/>
        <v>0.13979137987074597</v>
      </c>
      <c r="BY124" s="6">
        <f t="shared" si="236"/>
        <v>0.70000000000000007</v>
      </c>
      <c r="BZ124" s="179">
        <f t="shared" si="237"/>
        <v>0.83354034916116726</v>
      </c>
      <c r="CA124" s="6">
        <f t="shared" si="238"/>
        <v>83.354034916116731</v>
      </c>
      <c r="CD124" s="581">
        <f t="shared" si="239"/>
        <v>-50</v>
      </c>
      <c r="CE124">
        <f t="shared" si="240"/>
        <v>-50</v>
      </c>
    </row>
    <row r="125" spans="5:83" x14ac:dyDescent="0.2">
      <c r="E125" s="176">
        <v>15</v>
      </c>
      <c r="F125" s="223">
        <f t="shared" si="241"/>
        <v>0.15</v>
      </c>
      <c r="G125" s="223"/>
      <c r="H125" s="223">
        <f t="shared" si="190"/>
        <v>0.75</v>
      </c>
      <c r="I125" s="559">
        <f t="shared" si="191"/>
        <v>12</v>
      </c>
      <c r="J125" s="454">
        <f t="shared" si="192"/>
        <v>15.899999999999999</v>
      </c>
      <c r="K125" s="454">
        <f t="shared" si="193"/>
        <v>27.9</v>
      </c>
      <c r="L125" s="454"/>
      <c r="M125" s="223">
        <f t="shared" si="194"/>
        <v>0.56989247311827951</v>
      </c>
      <c r="N125" s="178">
        <f t="shared" si="242"/>
        <v>4.6161290322580646</v>
      </c>
      <c r="O125" s="178">
        <f t="shared" si="162"/>
        <v>0.75</v>
      </c>
      <c r="P125" s="223">
        <f t="shared" si="195"/>
        <v>0.9232258064516129</v>
      </c>
      <c r="Q125" s="223">
        <f t="shared" si="196"/>
        <v>5</v>
      </c>
      <c r="R125" s="223"/>
      <c r="S125" s="178">
        <f t="shared" si="197"/>
        <v>50.023845554463861</v>
      </c>
      <c r="T125" s="178">
        <f t="shared" si="198"/>
        <v>5</v>
      </c>
      <c r="U125" s="223">
        <f t="shared" si="199"/>
        <v>0.2437106918238994</v>
      </c>
      <c r="V125" s="223">
        <f t="shared" si="200"/>
        <v>0.60927672955974854</v>
      </c>
      <c r="W125" s="223">
        <f t="shared" si="201"/>
        <v>0.4598314940073574</v>
      </c>
      <c r="X125" s="203">
        <f t="shared" si="202"/>
        <v>350</v>
      </c>
      <c r="Y125" s="454">
        <f t="shared" si="203"/>
        <v>350</v>
      </c>
      <c r="AA125" s="223">
        <f t="shared" si="204"/>
        <v>0.65130568356374818</v>
      </c>
      <c r="AB125" s="179">
        <f t="shared" si="205"/>
        <v>1.2288786482334872</v>
      </c>
      <c r="AC125" s="179">
        <f t="shared" si="206"/>
        <v>0.42019721520241832</v>
      </c>
      <c r="AD125" s="179"/>
      <c r="AE125" s="179">
        <f t="shared" si="207"/>
        <v>0.5660377358490567</v>
      </c>
      <c r="AF125" s="563">
        <f t="shared" si="208"/>
        <v>588.8888888888888</v>
      </c>
      <c r="AG125" s="546">
        <f t="shared" si="209"/>
        <v>8.9150943396226423E-2</v>
      </c>
      <c r="AI125" s="179">
        <f t="shared" si="210"/>
        <v>0.3891382420536067</v>
      </c>
      <c r="AJ125" s="179">
        <f t="shared" si="211"/>
        <v>0.3891382420536067</v>
      </c>
      <c r="AK125" s="179">
        <f t="shared" si="212"/>
        <v>1.266028327447116</v>
      </c>
      <c r="AM125" s="563">
        <f t="shared" si="213"/>
        <v>150</v>
      </c>
      <c r="AN125" s="472">
        <f t="shared" si="214"/>
        <v>350</v>
      </c>
      <c r="AP125" s="472">
        <f t="shared" si="215"/>
        <v>150</v>
      </c>
      <c r="AQ125" s="472">
        <f t="shared" si="216"/>
        <v>350</v>
      </c>
      <c r="AS125" s="6">
        <f t="shared" si="164"/>
        <v>2.8571428571428572</v>
      </c>
      <c r="AT125" s="6">
        <f t="shared" si="217"/>
        <v>0.97284560513401686</v>
      </c>
      <c r="AU125" s="6">
        <f t="shared" si="218"/>
        <v>1.8842972520088404</v>
      </c>
      <c r="AV125" s="6"/>
      <c r="AW125" s="179">
        <f t="shared" si="219"/>
        <v>0.34049596179690589</v>
      </c>
      <c r="AX125" s="179">
        <f t="shared" si="142"/>
        <v>0.79499999999999971</v>
      </c>
      <c r="AY125" s="179">
        <f t="shared" si="143"/>
        <v>0.38495736308041006</v>
      </c>
      <c r="AZ125" s="179">
        <f t="shared" si="167"/>
        <v>2.0651637720043809</v>
      </c>
      <c r="BA125" s="472">
        <f t="shared" si="243"/>
        <v>2.9185368154020503</v>
      </c>
      <c r="BB125" s="6">
        <f t="shared" si="244"/>
        <v>0.10904497986162268</v>
      </c>
      <c r="BD125" s="179">
        <f t="shared" si="168"/>
        <v>0.13109896652542419</v>
      </c>
      <c r="BE125" s="179">
        <f t="shared" si="146"/>
        <v>0.54736026807707339</v>
      </c>
      <c r="BG125" s="546">
        <f t="shared" si="222"/>
        <v>6.0154286584120009E-3</v>
      </c>
      <c r="BH125" s="546">
        <f t="shared" si="223"/>
        <v>2.8499512002401018E-2</v>
      </c>
      <c r="BI125" s="546">
        <f t="shared" si="224"/>
        <v>4.3749999999999995E-3</v>
      </c>
      <c r="BJ125" s="546">
        <f t="shared" si="225"/>
        <v>1.3622175E-2</v>
      </c>
      <c r="BK125">
        <f t="shared" si="226"/>
        <v>3.48E-3</v>
      </c>
      <c r="BM125" s="472">
        <f t="shared" si="227"/>
        <v>55.992115660813013</v>
      </c>
      <c r="BN125" s="546">
        <f t="shared" si="228"/>
        <v>0.06</v>
      </c>
      <c r="BQ125" s="472">
        <f t="shared" si="229"/>
        <v>60</v>
      </c>
      <c r="BR125" s="546">
        <f t="shared" si="230"/>
        <v>3.4373878048068584E-3</v>
      </c>
      <c r="BS125" s="546">
        <f t="shared" si="231"/>
        <v>1.1984130522776226E-2</v>
      </c>
      <c r="BT125" s="546">
        <f t="shared" si="232"/>
        <v>1.0824301903320111E-2</v>
      </c>
      <c r="BU125" s="546"/>
      <c r="BV125" s="546">
        <f t="shared" si="233"/>
        <v>5.2999999999999983E-3</v>
      </c>
      <c r="BW125" s="472">
        <f t="shared" si="234"/>
        <v>31.545820230903196</v>
      </c>
      <c r="BX125" s="179">
        <f t="shared" si="235"/>
        <v>0.14753793589171621</v>
      </c>
      <c r="BY125" s="6">
        <f t="shared" si="236"/>
        <v>0.75</v>
      </c>
      <c r="BZ125" s="179">
        <f t="shared" si="237"/>
        <v>0.83561927580795214</v>
      </c>
      <c r="CA125" s="6">
        <f t="shared" si="238"/>
        <v>83.561927580795214</v>
      </c>
      <c r="CD125" s="581">
        <f t="shared" si="239"/>
        <v>-50</v>
      </c>
      <c r="CE125">
        <f t="shared" si="240"/>
        <v>-50</v>
      </c>
    </row>
    <row r="126" spans="5:83" x14ac:dyDescent="0.2">
      <c r="E126" s="176">
        <v>16</v>
      </c>
      <c r="F126" s="223">
        <f t="shared" si="241"/>
        <v>0.16</v>
      </c>
      <c r="G126" s="223"/>
      <c r="H126" s="223">
        <f t="shared" si="190"/>
        <v>0.8</v>
      </c>
      <c r="I126" s="559">
        <f t="shared" si="191"/>
        <v>12</v>
      </c>
      <c r="J126" s="454">
        <f t="shared" si="192"/>
        <v>15.899999999999999</v>
      </c>
      <c r="K126" s="454">
        <f t="shared" si="193"/>
        <v>27.9</v>
      </c>
      <c r="L126" s="454"/>
      <c r="M126" s="223">
        <f t="shared" si="194"/>
        <v>0.56989247311827951</v>
      </c>
      <c r="N126" s="178">
        <f t="shared" si="242"/>
        <v>4.6161290322580646</v>
      </c>
      <c r="O126" s="178">
        <f t="shared" si="162"/>
        <v>0.8</v>
      </c>
      <c r="P126" s="223">
        <f t="shared" si="195"/>
        <v>0.9232258064516129</v>
      </c>
      <c r="Q126" s="223">
        <f t="shared" si="196"/>
        <v>5</v>
      </c>
      <c r="R126" s="223"/>
      <c r="S126" s="178">
        <f t="shared" si="197"/>
        <v>46.650558801229195</v>
      </c>
      <c r="T126" s="178">
        <f t="shared" si="198"/>
        <v>5</v>
      </c>
      <c r="U126" s="223">
        <f t="shared" si="199"/>
        <v>0.25995807127882603</v>
      </c>
      <c r="V126" s="223">
        <f t="shared" si="200"/>
        <v>0.6498951781970651</v>
      </c>
      <c r="W126" s="223">
        <f t="shared" si="201"/>
        <v>0.49048692694118118</v>
      </c>
      <c r="X126" s="203">
        <f t="shared" si="202"/>
        <v>350</v>
      </c>
      <c r="Y126" s="454">
        <f t="shared" si="203"/>
        <v>350</v>
      </c>
      <c r="AA126" s="223">
        <f t="shared" si="204"/>
        <v>0.65130568356374818</v>
      </c>
      <c r="AB126" s="179">
        <f t="shared" si="205"/>
        <v>1.2288786482334872</v>
      </c>
      <c r="AC126" s="179">
        <f t="shared" si="206"/>
        <v>0.42019721520241832</v>
      </c>
      <c r="AD126" s="179"/>
      <c r="AE126" s="179">
        <f t="shared" si="207"/>
        <v>0.5660377358490567</v>
      </c>
      <c r="AF126" s="563">
        <f t="shared" si="208"/>
        <v>628.14814814814804</v>
      </c>
      <c r="AG126" s="546">
        <f t="shared" si="209"/>
        <v>8.9150943396226423E-2</v>
      </c>
      <c r="AI126" s="179">
        <f t="shared" si="210"/>
        <v>0.40190024822561321</v>
      </c>
      <c r="AJ126" s="179">
        <f t="shared" si="211"/>
        <v>0.40190024822561321</v>
      </c>
      <c r="AK126" s="179">
        <f t="shared" si="212"/>
        <v>1.275481665352306</v>
      </c>
      <c r="AM126" s="563">
        <f t="shared" si="213"/>
        <v>160</v>
      </c>
      <c r="AN126" s="472">
        <f t="shared" si="214"/>
        <v>350</v>
      </c>
      <c r="AP126" s="472">
        <f t="shared" si="215"/>
        <v>160</v>
      </c>
      <c r="AQ126" s="472">
        <f t="shared" si="216"/>
        <v>350</v>
      </c>
      <c r="AS126" s="6">
        <f t="shared" si="164"/>
        <v>2.8571428571428572</v>
      </c>
      <c r="AT126" s="6">
        <f t="shared" si="217"/>
        <v>1.0047506205640331</v>
      </c>
      <c r="AU126" s="6">
        <f t="shared" si="218"/>
        <v>1.8523922365788241</v>
      </c>
      <c r="AV126" s="6"/>
      <c r="AW126" s="179">
        <f t="shared" si="219"/>
        <v>0.35166271719741155</v>
      </c>
      <c r="AX126" s="179">
        <f t="shared" si="142"/>
        <v>0.84799999999999986</v>
      </c>
      <c r="AY126" s="179">
        <f t="shared" si="143"/>
        <v>0.39085037233841979</v>
      </c>
      <c r="AZ126" s="179">
        <f t="shared" si="167"/>
        <v>2.1696282260817568</v>
      </c>
      <c r="BA126" s="472">
        <f t="shared" si="243"/>
        <v>3.2152019858049057</v>
      </c>
      <c r="BB126" s="6">
        <f t="shared" si="244"/>
        <v>0.11434519978881631</v>
      </c>
      <c r="BD126" s="179">
        <f t="shared" si="168"/>
        <v>0.1376007530856572</v>
      </c>
      <c r="BE126" s="179">
        <f t="shared" si="146"/>
        <v>0.5605048825155482</v>
      </c>
      <c r="BG126" s="546">
        <f t="shared" si="222"/>
        <v>6.6268885374089993E-3</v>
      </c>
      <c r="BH126" s="546">
        <f t="shared" si="223"/>
        <v>2.9434169429423344E-2</v>
      </c>
      <c r="BI126" s="546">
        <f t="shared" si="224"/>
        <v>4.3749999999999995E-3</v>
      </c>
      <c r="BJ126" s="546">
        <f t="shared" si="225"/>
        <v>1.3622175E-2</v>
      </c>
      <c r="BK126">
        <f t="shared" si="226"/>
        <v>3.48E-3</v>
      </c>
      <c r="BM126" s="472">
        <f t="shared" si="227"/>
        <v>57.538232966832339</v>
      </c>
      <c r="BN126" s="546">
        <f t="shared" si="228"/>
        <v>6.4000000000000001E-2</v>
      </c>
      <c r="BQ126" s="472">
        <f t="shared" si="229"/>
        <v>64</v>
      </c>
      <c r="BR126" s="546">
        <f t="shared" si="230"/>
        <v>3.786793449948E-3</v>
      </c>
      <c r="BS126" s="546">
        <f t="shared" si="231"/>
        <v>1.2566628932950739E-2</v>
      </c>
      <c r="BT126" s="546">
        <f t="shared" si="232"/>
        <v>1.1733722182377122E-2</v>
      </c>
      <c r="BU126" s="546"/>
      <c r="BV126" s="546">
        <f t="shared" si="233"/>
        <v>5.6533333333333331E-3</v>
      </c>
      <c r="BW126" s="472">
        <f t="shared" si="234"/>
        <v>33.740477898609193</v>
      </c>
      <c r="BX126" s="179">
        <f t="shared" si="235"/>
        <v>0.15527871086544154</v>
      </c>
      <c r="BY126" s="6">
        <f t="shared" si="236"/>
        <v>0.8</v>
      </c>
      <c r="BZ126" s="179">
        <f t="shared" si="237"/>
        <v>0.83745192989304063</v>
      </c>
      <c r="CA126" s="6">
        <f t="shared" si="238"/>
        <v>83.745192989304059</v>
      </c>
      <c r="CD126" s="581">
        <f t="shared" si="239"/>
        <v>-50</v>
      </c>
      <c r="CE126">
        <f t="shared" si="240"/>
        <v>-50</v>
      </c>
    </row>
    <row r="127" spans="5:83" x14ac:dyDescent="0.2">
      <c r="E127" s="176">
        <v>17</v>
      </c>
      <c r="F127" s="223">
        <f t="shared" si="241"/>
        <v>0.17</v>
      </c>
      <c r="G127" s="223"/>
      <c r="H127" s="223">
        <f t="shared" si="190"/>
        <v>0.85000000000000009</v>
      </c>
      <c r="I127" s="559">
        <f t="shared" si="191"/>
        <v>12</v>
      </c>
      <c r="J127" s="454">
        <f t="shared" si="192"/>
        <v>15.899999999999999</v>
      </c>
      <c r="K127" s="454">
        <f t="shared" si="193"/>
        <v>27.9</v>
      </c>
      <c r="L127" s="454"/>
      <c r="M127" s="223">
        <f t="shared" si="194"/>
        <v>0.56989247311827951</v>
      </c>
      <c r="N127" s="178">
        <f t="shared" si="242"/>
        <v>4.6161290322580646</v>
      </c>
      <c r="O127" s="178">
        <f t="shared" si="162"/>
        <v>0.85000000000000009</v>
      </c>
      <c r="P127" s="223">
        <f t="shared" si="195"/>
        <v>0.9232258064516129</v>
      </c>
      <c r="Q127" s="223">
        <f t="shared" si="196"/>
        <v>5</v>
      </c>
      <c r="R127" s="223"/>
      <c r="S127" s="178">
        <f t="shared" si="197"/>
        <v>43.674347460412093</v>
      </c>
      <c r="T127" s="178">
        <f t="shared" si="198"/>
        <v>5</v>
      </c>
      <c r="U127" s="223">
        <f t="shared" si="199"/>
        <v>0.27620545073375269</v>
      </c>
      <c r="V127" s="223">
        <f t="shared" si="200"/>
        <v>0.69051362683438178</v>
      </c>
      <c r="W127" s="223">
        <f t="shared" si="201"/>
        <v>0.52114235987500512</v>
      </c>
      <c r="X127" s="203">
        <f t="shared" si="202"/>
        <v>350</v>
      </c>
      <c r="Y127" s="454">
        <f t="shared" si="203"/>
        <v>350</v>
      </c>
      <c r="AA127" s="223">
        <f t="shared" si="204"/>
        <v>0.65130568356374818</v>
      </c>
      <c r="AB127" s="179">
        <f t="shared" si="205"/>
        <v>1.2288786482334872</v>
      </c>
      <c r="AC127" s="179">
        <f t="shared" si="206"/>
        <v>0.42019721520241832</v>
      </c>
      <c r="AD127" s="179"/>
      <c r="AE127" s="179">
        <f t="shared" si="207"/>
        <v>0.5660377358490567</v>
      </c>
      <c r="AF127" s="563">
        <f t="shared" si="208"/>
        <v>667.40740740740728</v>
      </c>
      <c r="AG127" s="546">
        <f t="shared" si="209"/>
        <v>8.9150943396226423E-2</v>
      </c>
      <c r="AI127" s="179">
        <f t="shared" si="210"/>
        <v>0.41426929359904002</v>
      </c>
      <c r="AJ127" s="179">
        <f t="shared" si="211"/>
        <v>0.41426929359904002</v>
      </c>
      <c r="AK127" s="179">
        <f t="shared" si="212"/>
        <v>1.284643921184474</v>
      </c>
      <c r="AM127" s="563">
        <f t="shared" si="213"/>
        <v>170</v>
      </c>
      <c r="AN127" s="472">
        <f t="shared" si="214"/>
        <v>350</v>
      </c>
      <c r="AP127" s="472">
        <f t="shared" si="215"/>
        <v>170</v>
      </c>
      <c r="AQ127" s="472">
        <f t="shared" si="216"/>
        <v>350</v>
      </c>
      <c r="AS127" s="6">
        <f t="shared" si="164"/>
        <v>2.8571428571428572</v>
      </c>
      <c r="AT127" s="6">
        <f t="shared" si="217"/>
        <v>1.0356732339976</v>
      </c>
      <c r="AU127" s="6">
        <f t="shared" si="218"/>
        <v>1.8214696231452572</v>
      </c>
      <c r="AV127" s="6"/>
      <c r="AW127" s="179">
        <f t="shared" si="219"/>
        <v>0.36248563189916</v>
      </c>
      <c r="AX127" s="179">
        <f t="shared" si="142"/>
        <v>0.90100000000000013</v>
      </c>
      <c r="AY127" s="179">
        <f t="shared" si="143"/>
        <v>0.39615394039856</v>
      </c>
      <c r="AZ127" s="179">
        <f t="shared" si="167"/>
        <v>2.2743683909682377</v>
      </c>
      <c r="BA127" s="472">
        <f t="shared" si="243"/>
        <v>3.5212889955918403</v>
      </c>
      <c r="BB127" s="6">
        <f t="shared" si="244"/>
        <v>0.11946367127110095</v>
      </c>
      <c r="BD127" s="179">
        <f t="shared" si="168"/>
        <v>0.14400166540949275</v>
      </c>
      <c r="BE127" s="179">
        <f t="shared" si="146"/>
        <v>0.57291258154344571</v>
      </c>
      <c r="BG127" s="546">
        <f t="shared" si="222"/>
        <v>7.257767874247624E-3</v>
      </c>
      <c r="BH127" s="546">
        <f t="shared" si="223"/>
        <v>3.0340047389959688E-2</v>
      </c>
      <c r="BI127" s="546">
        <f t="shared" si="224"/>
        <v>4.3749999999999995E-3</v>
      </c>
      <c r="BJ127" s="546">
        <f t="shared" si="225"/>
        <v>1.3622175E-2</v>
      </c>
      <c r="BK127">
        <f t="shared" si="226"/>
        <v>3.48E-3</v>
      </c>
      <c r="BM127" s="472">
        <f t="shared" si="227"/>
        <v>59.074990264207308</v>
      </c>
      <c r="BN127" s="546">
        <f t="shared" si="228"/>
        <v>6.8000000000000005E-2</v>
      </c>
      <c r="BQ127" s="472">
        <f t="shared" si="229"/>
        <v>68</v>
      </c>
      <c r="BR127" s="546">
        <f t="shared" si="230"/>
        <v>4.1472959281414999E-3</v>
      </c>
      <c r="BS127" s="546">
        <f t="shared" si="231"/>
        <v>1.3129153043631013E-2</v>
      </c>
      <c r="BT127" s="546">
        <f t="shared" si="232"/>
        <v>1.2657471980615983E-2</v>
      </c>
      <c r="BU127" s="546"/>
      <c r="BV127" s="546">
        <f t="shared" si="233"/>
        <v>6.0066666666666671E-3</v>
      </c>
      <c r="BW127" s="472">
        <f t="shared" si="234"/>
        <v>35.940587619055165</v>
      </c>
      <c r="BX127" s="179">
        <f t="shared" si="235"/>
        <v>0.16301557788326249</v>
      </c>
      <c r="BY127" s="6">
        <f t="shared" si="236"/>
        <v>0.85000000000000009</v>
      </c>
      <c r="BZ127" s="179">
        <f t="shared" si="237"/>
        <v>0.83907890318538814</v>
      </c>
      <c r="CA127" s="6">
        <f t="shared" si="238"/>
        <v>83.907890318538819</v>
      </c>
      <c r="CD127" s="581">
        <f t="shared" si="239"/>
        <v>-50</v>
      </c>
      <c r="CE127">
        <f t="shared" si="240"/>
        <v>-50</v>
      </c>
    </row>
    <row r="128" spans="5:83" x14ac:dyDescent="0.2">
      <c r="E128" s="176">
        <v>18</v>
      </c>
      <c r="F128" s="223">
        <f t="shared" si="241"/>
        <v>0.18</v>
      </c>
      <c r="G128" s="223"/>
      <c r="H128" s="223">
        <f t="shared" si="190"/>
        <v>0.89999999999999991</v>
      </c>
      <c r="I128" s="559">
        <f t="shared" si="191"/>
        <v>12</v>
      </c>
      <c r="J128" s="454">
        <f t="shared" si="192"/>
        <v>15.899999999999999</v>
      </c>
      <c r="K128" s="454">
        <f t="shared" si="193"/>
        <v>27.9</v>
      </c>
      <c r="L128" s="454"/>
      <c r="M128" s="223">
        <f t="shared" si="194"/>
        <v>0.56989247311827951</v>
      </c>
      <c r="N128" s="178">
        <f t="shared" si="242"/>
        <v>4.6161290322580646</v>
      </c>
      <c r="O128" s="178">
        <f t="shared" si="162"/>
        <v>0.89999999999999991</v>
      </c>
      <c r="P128" s="223">
        <f t="shared" si="195"/>
        <v>0.9232258064516129</v>
      </c>
      <c r="Q128" s="223">
        <f t="shared" si="196"/>
        <v>5</v>
      </c>
      <c r="R128" s="223"/>
      <c r="S128" s="178">
        <f t="shared" si="197"/>
        <v>41.029035277304402</v>
      </c>
      <c r="T128" s="178">
        <f t="shared" si="198"/>
        <v>5</v>
      </c>
      <c r="U128" s="223">
        <f t="shared" si="199"/>
        <v>0.29245283018867924</v>
      </c>
      <c r="V128" s="223">
        <f t="shared" si="200"/>
        <v>0.73113207547169801</v>
      </c>
      <c r="W128" s="223">
        <f t="shared" si="201"/>
        <v>0.55179779280882879</v>
      </c>
      <c r="X128" s="203">
        <f t="shared" si="202"/>
        <v>350</v>
      </c>
      <c r="Y128" s="454">
        <f t="shared" si="203"/>
        <v>350</v>
      </c>
      <c r="AA128" s="223">
        <f t="shared" si="204"/>
        <v>0.65130568356374818</v>
      </c>
      <c r="AB128" s="179">
        <f t="shared" si="205"/>
        <v>1.2288786482334872</v>
      </c>
      <c r="AC128" s="179">
        <f t="shared" si="206"/>
        <v>0.42019721520241832</v>
      </c>
      <c r="AD128" s="179"/>
      <c r="AE128" s="179">
        <f t="shared" si="207"/>
        <v>0.5660377358490567</v>
      </c>
      <c r="AF128" s="563">
        <f t="shared" si="208"/>
        <v>706.66666666666652</v>
      </c>
      <c r="AG128" s="546">
        <f t="shared" si="209"/>
        <v>8.9150943396226423E-2</v>
      </c>
      <c r="AI128" s="179">
        <f t="shared" si="210"/>
        <v>0.42627958632133173</v>
      </c>
      <c r="AJ128" s="179">
        <f t="shared" si="211"/>
        <v>0.42627958632133173</v>
      </c>
      <c r="AK128" s="179">
        <f t="shared" si="212"/>
        <v>1.2935404343120975</v>
      </c>
      <c r="AM128" s="563">
        <f t="shared" si="213"/>
        <v>180</v>
      </c>
      <c r="AN128" s="472">
        <f t="shared" si="214"/>
        <v>350</v>
      </c>
      <c r="AP128" s="472">
        <f t="shared" si="215"/>
        <v>180</v>
      </c>
      <c r="AQ128" s="472">
        <f t="shared" si="216"/>
        <v>350</v>
      </c>
      <c r="AS128" s="6">
        <f t="shared" si="164"/>
        <v>2.8571428571428572</v>
      </c>
      <c r="AT128" s="6">
        <f t="shared" si="217"/>
        <v>1.0656989658033293</v>
      </c>
      <c r="AU128" s="6">
        <f t="shared" si="218"/>
        <v>1.7914438913395279</v>
      </c>
      <c r="AV128" s="6"/>
      <c r="AW128" s="179">
        <f t="shared" si="219"/>
        <v>0.37299463803116528</v>
      </c>
      <c r="AX128" s="179">
        <f t="shared" si="142"/>
        <v>0.95400000000000007</v>
      </c>
      <c r="AY128" s="179">
        <f t="shared" si="143"/>
        <v>0.40091937948199757</v>
      </c>
      <c r="AZ128" s="179">
        <f t="shared" si="167"/>
        <v>2.3795307705818631</v>
      </c>
      <c r="BA128" s="472">
        <f t="shared" si="243"/>
        <v>3.8365162768919854</v>
      </c>
      <c r="BB128" s="6">
        <f t="shared" si="244"/>
        <v>0.12440582578746719</v>
      </c>
      <c r="BD128" s="179">
        <f t="shared" si="168"/>
        <v>0.15030907515858974</v>
      </c>
      <c r="BE128" s="179">
        <f t="shared" si="146"/>
        <v>0.58464304876358686</v>
      </c>
      <c r="BG128" s="546">
        <f t="shared" si="222"/>
        <v>7.9074863262607025E-3</v>
      </c>
      <c r="BH128" s="546">
        <f t="shared" si="223"/>
        <v>3.1219651203208527E-2</v>
      </c>
      <c r="BI128" s="546">
        <f t="shared" si="224"/>
        <v>4.3749999999999995E-3</v>
      </c>
      <c r="BJ128" s="546">
        <f t="shared" si="225"/>
        <v>1.3622175E-2</v>
      </c>
      <c r="BK128">
        <f t="shared" si="226"/>
        <v>3.48E-3</v>
      </c>
      <c r="BM128" s="472">
        <f t="shared" si="227"/>
        <v>60.604312529469226</v>
      </c>
      <c r="BN128" s="546">
        <f t="shared" si="228"/>
        <v>7.1999999999999995E-2</v>
      </c>
      <c r="BQ128" s="472">
        <f t="shared" si="229"/>
        <v>72</v>
      </c>
      <c r="BR128" s="546">
        <f t="shared" si="230"/>
        <v>4.5185636150061161E-3</v>
      </c>
      <c r="BS128" s="546">
        <f t="shared" si="231"/>
        <v>1.3672299778703273E-2</v>
      </c>
      <c r="BT128" s="546">
        <f t="shared" si="232"/>
        <v>1.3594913677684417E-2</v>
      </c>
      <c r="BU128" s="546"/>
      <c r="BV128" s="546">
        <f t="shared" si="233"/>
        <v>6.3600000000000011E-3</v>
      </c>
      <c r="BW128" s="472">
        <f t="shared" si="234"/>
        <v>38.145777071393816</v>
      </c>
      <c r="BX128" s="179">
        <f t="shared" si="235"/>
        <v>0.17075008960086302</v>
      </c>
      <c r="BY128" s="6">
        <f t="shared" si="236"/>
        <v>0.89999999999999991</v>
      </c>
      <c r="BZ128" s="179">
        <f t="shared" si="237"/>
        <v>0.84053226681072457</v>
      </c>
      <c r="CA128" s="6">
        <f t="shared" si="238"/>
        <v>84.053226681072459</v>
      </c>
      <c r="CD128" s="581">
        <f t="shared" si="239"/>
        <v>-50</v>
      </c>
      <c r="CE128">
        <f t="shared" si="240"/>
        <v>-50</v>
      </c>
    </row>
    <row r="129" spans="5:83" x14ac:dyDescent="0.2">
      <c r="E129" s="176">
        <v>19</v>
      </c>
      <c r="F129" s="223">
        <f t="shared" si="241"/>
        <v>0.19</v>
      </c>
      <c r="G129" s="223"/>
      <c r="H129" s="223">
        <f t="shared" si="190"/>
        <v>0.95</v>
      </c>
      <c r="I129" s="559">
        <f t="shared" si="191"/>
        <v>12</v>
      </c>
      <c r="J129" s="454">
        <f t="shared" si="192"/>
        <v>15.899999999999999</v>
      </c>
      <c r="K129" s="454">
        <f t="shared" si="193"/>
        <v>27.9</v>
      </c>
      <c r="L129" s="454"/>
      <c r="M129" s="223">
        <f t="shared" si="194"/>
        <v>0.56989247311827951</v>
      </c>
      <c r="N129" s="178">
        <f t="shared" si="242"/>
        <v>4.6161290322580646</v>
      </c>
      <c r="O129" s="178">
        <f t="shared" si="162"/>
        <v>0.95</v>
      </c>
      <c r="P129" s="223">
        <f t="shared" si="195"/>
        <v>0.9232258064516129</v>
      </c>
      <c r="Q129" s="223">
        <f t="shared" si="196"/>
        <v>5</v>
      </c>
      <c r="R129" s="223"/>
      <c r="S129" s="178">
        <f t="shared" si="197"/>
        <v>38.662377888937662</v>
      </c>
      <c r="T129" s="178">
        <f t="shared" si="198"/>
        <v>5</v>
      </c>
      <c r="U129" s="223">
        <f t="shared" si="199"/>
        <v>0.30870020964360589</v>
      </c>
      <c r="V129" s="223">
        <f t="shared" si="200"/>
        <v>0.77175052410901479</v>
      </c>
      <c r="W129" s="223">
        <f t="shared" si="201"/>
        <v>0.58245322574265279</v>
      </c>
      <c r="X129" s="203">
        <f t="shared" si="202"/>
        <v>350</v>
      </c>
      <c r="Y129" s="454">
        <f t="shared" si="203"/>
        <v>350</v>
      </c>
      <c r="AA129" s="223">
        <f t="shared" si="204"/>
        <v>0.65130568356374818</v>
      </c>
      <c r="AB129" s="179">
        <f t="shared" si="205"/>
        <v>1.2288786482334872</v>
      </c>
      <c r="AC129" s="179">
        <f t="shared" si="206"/>
        <v>0.42019721520241832</v>
      </c>
      <c r="AD129" s="179"/>
      <c r="AE129" s="179">
        <f t="shared" si="207"/>
        <v>0.5660377358490567</v>
      </c>
      <c r="AF129" s="563">
        <f t="shared" si="208"/>
        <v>745.92592592592587</v>
      </c>
      <c r="AG129" s="546">
        <f t="shared" si="209"/>
        <v>8.9150943396226423E-2</v>
      </c>
      <c r="AI129" s="179">
        <f t="shared" si="210"/>
        <v>0.43796064184983996</v>
      </c>
      <c r="AJ129" s="179">
        <f t="shared" si="211"/>
        <v>0.43796064184983996</v>
      </c>
      <c r="AK129" s="179">
        <f t="shared" si="212"/>
        <v>1.3021930680369185</v>
      </c>
      <c r="AM129" s="563">
        <f t="shared" si="213"/>
        <v>190</v>
      </c>
      <c r="AN129" s="472">
        <f t="shared" si="214"/>
        <v>350</v>
      </c>
      <c r="AP129" s="472">
        <f t="shared" si="215"/>
        <v>190</v>
      </c>
      <c r="AQ129" s="472">
        <f t="shared" si="216"/>
        <v>350</v>
      </c>
      <c r="AS129" s="6">
        <f t="shared" si="164"/>
        <v>2.8571428571428572</v>
      </c>
      <c r="AT129" s="6">
        <f t="shared" si="217"/>
        <v>1.0949016046246001</v>
      </c>
      <c r="AU129" s="6">
        <f t="shared" si="218"/>
        <v>1.7622412525182571</v>
      </c>
      <c r="AV129" s="6"/>
      <c r="AW129" s="179">
        <f t="shared" si="219"/>
        <v>0.38321556161861003</v>
      </c>
      <c r="AX129" s="179">
        <f t="shared" si="142"/>
        <v>1.0069999999999999</v>
      </c>
      <c r="AY129" s="179">
        <f t="shared" si="143"/>
        <v>0.40519096277475997</v>
      </c>
      <c r="AZ129" s="179">
        <f t="shared" si="167"/>
        <v>2.485247926321045</v>
      </c>
      <c r="BA129" s="472">
        <f t="shared" si="243"/>
        <v>4.1606260975734806</v>
      </c>
      <c r="BB129" s="6">
        <f t="shared" si="244"/>
        <v>0.12917663502255741</v>
      </c>
      <c r="BD129" s="179">
        <f t="shared" si="168"/>
        <v>0.15652943747685802</v>
      </c>
      <c r="BE129" s="179">
        <f t="shared" si="146"/>
        <v>0.59574775556201387</v>
      </c>
      <c r="BG129" s="546">
        <f t="shared" si="222"/>
        <v>8.5755126788875594E-3</v>
      </c>
      <c r="BH129" s="546">
        <f t="shared" si="223"/>
        <v>3.2075142507477651E-2</v>
      </c>
      <c r="BI129" s="546">
        <f t="shared" si="224"/>
        <v>4.3749999999999995E-3</v>
      </c>
      <c r="BJ129" s="546">
        <f t="shared" si="225"/>
        <v>1.3622175E-2</v>
      </c>
      <c r="BK129">
        <f t="shared" si="226"/>
        <v>3.48E-3</v>
      </c>
      <c r="BM129" s="472">
        <f t="shared" si="227"/>
        <v>62.127830186365202</v>
      </c>
      <c r="BN129" s="546">
        <f t="shared" si="228"/>
        <v>7.6000000000000012E-2</v>
      </c>
      <c r="BQ129" s="472">
        <f t="shared" si="229"/>
        <v>76.000000000000014</v>
      </c>
      <c r="BR129" s="546">
        <f t="shared" si="230"/>
        <v>4.9002929593643212E-3</v>
      </c>
      <c r="BS129" s="546">
        <f t="shared" si="231"/>
        <v>1.4196615530287081E-2</v>
      </c>
      <c r="BT129" s="546">
        <f t="shared" si="232"/>
        <v>1.4545472184056923E-2</v>
      </c>
      <c r="BU129" s="546"/>
      <c r="BV129" s="546">
        <f t="shared" si="233"/>
        <v>6.7133333333333333E-3</v>
      </c>
      <c r="BW129" s="472">
        <f t="shared" si="234"/>
        <v>40.355714007041662</v>
      </c>
      <c r="BX129" s="179">
        <f t="shared" si="235"/>
        <v>0.17848354419340684</v>
      </c>
      <c r="BY129" s="6">
        <f t="shared" si="236"/>
        <v>0.95</v>
      </c>
      <c r="BZ129" s="179">
        <f t="shared" si="237"/>
        <v>0.84183770768143584</v>
      </c>
      <c r="CA129" s="6">
        <f t="shared" si="238"/>
        <v>84.183770768143589</v>
      </c>
      <c r="CD129" s="581">
        <f t="shared" si="239"/>
        <v>-50</v>
      </c>
      <c r="CE129">
        <f t="shared" si="240"/>
        <v>-50</v>
      </c>
    </row>
    <row r="130" spans="5:83" x14ac:dyDescent="0.2">
      <c r="E130" s="176">
        <v>20</v>
      </c>
      <c r="F130" s="223">
        <f t="shared" si="241"/>
        <v>0.2</v>
      </c>
      <c r="G130" s="223"/>
      <c r="H130" s="223">
        <f t="shared" si="190"/>
        <v>1</v>
      </c>
      <c r="I130" s="559">
        <f t="shared" si="191"/>
        <v>12</v>
      </c>
      <c r="J130" s="454">
        <f t="shared" si="192"/>
        <v>15.899999999999999</v>
      </c>
      <c r="K130" s="454">
        <f t="shared" si="193"/>
        <v>27.9</v>
      </c>
      <c r="L130" s="454"/>
      <c r="M130" s="223">
        <f t="shared" si="194"/>
        <v>0.56989247311827951</v>
      </c>
      <c r="N130" s="178">
        <f t="shared" si="242"/>
        <v>4.6161290322580646</v>
      </c>
      <c r="O130" s="178">
        <f t="shared" si="162"/>
        <v>1</v>
      </c>
      <c r="P130" s="223">
        <f t="shared" si="195"/>
        <v>0.9232258064516129</v>
      </c>
      <c r="Q130" s="223">
        <f t="shared" si="196"/>
        <v>5</v>
      </c>
      <c r="R130" s="223"/>
      <c r="S130" s="178">
        <f t="shared" si="197"/>
        <v>36.532579851990327</v>
      </c>
      <c r="T130" s="178">
        <f t="shared" si="198"/>
        <v>5</v>
      </c>
      <c r="U130" s="223">
        <f t="shared" si="199"/>
        <v>0.3249475890985325</v>
      </c>
      <c r="V130" s="223">
        <f t="shared" si="200"/>
        <v>0.81236897274633135</v>
      </c>
      <c r="W130" s="223">
        <f t="shared" si="201"/>
        <v>0.61310865867647646</v>
      </c>
      <c r="X130" s="203">
        <f t="shared" si="202"/>
        <v>350</v>
      </c>
      <c r="Y130" s="454">
        <f t="shared" si="203"/>
        <v>350</v>
      </c>
      <c r="AA130" s="223">
        <f t="shared" si="204"/>
        <v>0.65130568356374818</v>
      </c>
      <c r="AB130" s="179">
        <f t="shared" si="205"/>
        <v>1.2288786482334872</v>
      </c>
      <c r="AC130" s="179">
        <f t="shared" si="206"/>
        <v>0.42019721520241832</v>
      </c>
      <c r="AD130" s="179"/>
      <c r="AE130" s="179">
        <f t="shared" si="207"/>
        <v>0.5660377358490567</v>
      </c>
      <c r="AF130" s="563">
        <f t="shared" si="208"/>
        <v>785.18518518518511</v>
      </c>
      <c r="AG130" s="546">
        <f t="shared" si="209"/>
        <v>8.9150943396226423E-2</v>
      </c>
      <c r="AI130" s="179">
        <f t="shared" si="210"/>
        <v>0.44933813760325519</v>
      </c>
      <c r="AJ130" s="179">
        <f t="shared" si="211"/>
        <v>0.44933813760325519</v>
      </c>
      <c r="AK130" s="179">
        <f t="shared" si="212"/>
        <v>1.310620842669078</v>
      </c>
      <c r="AM130" s="563">
        <f t="shared" si="213"/>
        <v>200</v>
      </c>
      <c r="AN130" s="472">
        <f t="shared" si="214"/>
        <v>350</v>
      </c>
      <c r="AP130" s="472">
        <f t="shared" si="215"/>
        <v>200</v>
      </c>
      <c r="AQ130" s="472">
        <f t="shared" si="216"/>
        <v>350</v>
      </c>
      <c r="AS130" s="6">
        <f t="shared" si="164"/>
        <v>2.8571428571428572</v>
      </c>
      <c r="AT130" s="6">
        <f t="shared" si="217"/>
        <v>1.1233453440081382</v>
      </c>
      <c r="AU130" s="6">
        <f t="shared" si="218"/>
        <v>1.733797513134719</v>
      </c>
      <c r="AV130" s="6"/>
      <c r="AW130" s="179">
        <f t="shared" si="219"/>
        <v>0.39317087040284837</v>
      </c>
      <c r="AX130" s="179">
        <f t="shared" si="142"/>
        <v>1.06</v>
      </c>
      <c r="AY130" s="179">
        <f t="shared" si="143"/>
        <v>0.40900720640488275</v>
      </c>
      <c r="AZ130" s="179">
        <f t="shared" si="167"/>
        <v>2.5916413779533487</v>
      </c>
      <c r="BA130" s="472">
        <f t="shared" si="243"/>
        <v>4.4933813760325538</v>
      </c>
      <c r="BB130" s="6">
        <f t="shared" si="244"/>
        <v>0.13378067230977769</v>
      </c>
      <c r="BD130" s="179">
        <f t="shared" si="168"/>
        <v>0.16266844702909769</v>
      </c>
      <c r="BE130" s="179">
        <f t="shared" si="146"/>
        <v>0.60627145140156513</v>
      </c>
      <c r="BG130" s="546">
        <f t="shared" si="222"/>
        <v>9.2613582806004256E-3</v>
      </c>
      <c r="BH130" s="546">
        <f t="shared" si="223"/>
        <v>3.29084018527184E-2</v>
      </c>
      <c r="BI130" s="546">
        <f t="shared" si="224"/>
        <v>4.3749999999999995E-3</v>
      </c>
      <c r="BJ130" s="546">
        <f t="shared" si="225"/>
        <v>1.3622175E-2</v>
      </c>
      <c r="BK130">
        <f t="shared" si="226"/>
        <v>3.48E-3</v>
      </c>
      <c r="BM130" s="472">
        <f t="shared" si="227"/>
        <v>63.646935133318827</v>
      </c>
      <c r="BN130" s="546">
        <f t="shared" si="228"/>
        <v>8.0000000000000016E-2</v>
      </c>
      <c r="BQ130" s="472">
        <f t="shared" si="229"/>
        <v>80.000000000000014</v>
      </c>
      <c r="BR130" s="546">
        <f t="shared" si="230"/>
        <v>5.2922047317716728E-3</v>
      </c>
      <c r="BS130" s="546">
        <f t="shared" si="231"/>
        <v>1.4702602911382414E-2</v>
      </c>
      <c r="BT130" s="546">
        <f t="shared" si="232"/>
        <v>1.5508625811050841E-2</v>
      </c>
      <c r="BU130" s="546"/>
      <c r="BV130" s="546">
        <f t="shared" si="233"/>
        <v>7.0666666666666664E-3</v>
      </c>
      <c r="BW130" s="472">
        <f t="shared" si="234"/>
        <v>42.570100120871594</v>
      </c>
      <c r="BX130" s="179">
        <f t="shared" si="235"/>
        <v>0.18621703525419042</v>
      </c>
      <c r="BY130" s="6">
        <f t="shared" si="236"/>
        <v>1</v>
      </c>
      <c r="BZ130" s="179">
        <f t="shared" si="237"/>
        <v>0.84301605041923333</v>
      </c>
      <c r="CA130" s="6">
        <f t="shared" si="238"/>
        <v>84.301605041923338</v>
      </c>
      <c r="CD130" s="581">
        <f t="shared" si="239"/>
        <v>-50</v>
      </c>
      <c r="CE130">
        <f t="shared" si="240"/>
        <v>-50</v>
      </c>
    </row>
    <row r="131" spans="5:83" x14ac:dyDescent="0.2">
      <c r="E131" s="176">
        <v>21</v>
      </c>
      <c r="F131" s="223">
        <f t="shared" si="241"/>
        <v>0.21</v>
      </c>
      <c r="G131" s="223"/>
      <c r="H131" s="223">
        <f t="shared" si="190"/>
        <v>1.05</v>
      </c>
      <c r="I131" s="559">
        <f t="shared" si="191"/>
        <v>12</v>
      </c>
      <c r="J131" s="454">
        <f t="shared" si="192"/>
        <v>15.899999999999999</v>
      </c>
      <c r="K131" s="454">
        <f t="shared" si="193"/>
        <v>27.9</v>
      </c>
      <c r="L131" s="454"/>
      <c r="M131" s="223">
        <f t="shared" si="194"/>
        <v>0.56989247311827951</v>
      </c>
      <c r="N131" s="178">
        <f t="shared" si="242"/>
        <v>4.6161290322580646</v>
      </c>
      <c r="O131" s="178">
        <f t="shared" si="162"/>
        <v>1.05</v>
      </c>
      <c r="P131" s="223">
        <f t="shared" si="195"/>
        <v>0.9232258064516129</v>
      </c>
      <c r="Q131" s="223">
        <f t="shared" si="196"/>
        <v>5</v>
      </c>
      <c r="R131" s="223"/>
      <c r="S131" s="178">
        <f t="shared" si="197"/>
        <v>34.605806805591257</v>
      </c>
      <c r="T131" s="178">
        <f t="shared" si="198"/>
        <v>5</v>
      </c>
      <c r="U131" s="223">
        <f t="shared" si="199"/>
        <v>0.34119496855345915</v>
      </c>
      <c r="V131" s="223">
        <f t="shared" si="200"/>
        <v>0.85298742138364791</v>
      </c>
      <c r="W131" s="223">
        <f t="shared" si="201"/>
        <v>0.64376409161030035</v>
      </c>
      <c r="X131" s="203">
        <f t="shared" si="202"/>
        <v>350</v>
      </c>
      <c r="Y131" s="454">
        <f t="shared" si="203"/>
        <v>350</v>
      </c>
      <c r="AA131" s="223">
        <f t="shared" si="204"/>
        <v>0.65130568356374818</v>
      </c>
      <c r="AB131" s="179">
        <f t="shared" si="205"/>
        <v>1.2288786482334872</v>
      </c>
      <c r="AC131" s="179">
        <f t="shared" si="206"/>
        <v>0.42019721520241832</v>
      </c>
      <c r="AD131" s="179"/>
      <c r="AE131" s="179">
        <f t="shared" si="207"/>
        <v>0.5660377358490567</v>
      </c>
      <c r="AF131" s="563">
        <f t="shared" si="208"/>
        <v>824.44444444444423</v>
      </c>
      <c r="AG131" s="546">
        <f t="shared" si="209"/>
        <v>8.9150943396226423E-2</v>
      </c>
      <c r="AI131" s="179">
        <f t="shared" si="210"/>
        <v>0.46043457732885351</v>
      </c>
      <c r="AJ131" s="179">
        <f t="shared" si="211"/>
        <v>0.46043457732885351</v>
      </c>
      <c r="AK131" s="179">
        <f t="shared" si="212"/>
        <v>1.3188404276510026</v>
      </c>
      <c r="AM131" s="563">
        <f t="shared" si="213"/>
        <v>210</v>
      </c>
      <c r="AN131" s="472">
        <f t="shared" si="214"/>
        <v>350</v>
      </c>
      <c r="AP131" s="472">
        <f t="shared" si="215"/>
        <v>210</v>
      </c>
      <c r="AQ131" s="472">
        <f t="shared" si="216"/>
        <v>350</v>
      </c>
      <c r="AS131" s="6">
        <f t="shared" si="164"/>
        <v>2.8571428571428572</v>
      </c>
      <c r="AT131" s="6">
        <f t="shared" si="217"/>
        <v>1.1510864433221337</v>
      </c>
      <c r="AU131" s="6">
        <f t="shared" si="218"/>
        <v>1.7060564138207235</v>
      </c>
      <c r="AV131" s="6"/>
      <c r="AW131" s="179">
        <f t="shared" si="219"/>
        <v>0.40288025516274678</v>
      </c>
      <c r="AX131" s="179">
        <f t="shared" si="142"/>
        <v>1.113</v>
      </c>
      <c r="AY131" s="179">
        <f t="shared" si="143"/>
        <v>0.41240186599328033</v>
      </c>
      <c r="AZ131" s="179">
        <f t="shared" si="167"/>
        <v>2.6988238700601204</v>
      </c>
      <c r="BA131" s="472">
        <f t="shared" si="243"/>
        <v>4.834563061952962</v>
      </c>
      <c r="BB131" s="6">
        <f t="shared" si="244"/>
        <v>0.13822216315677158</v>
      </c>
      <c r="BD131" s="179">
        <f t="shared" si="168"/>
        <v>0.16873116101706714</v>
      </c>
      <c r="BE131" s="179">
        <f t="shared" si="146"/>
        <v>0.61625332268190891</v>
      </c>
      <c r="BG131" s="546">
        <f t="shared" si="222"/>
        <v>9.9645716443586031E-3</v>
      </c>
      <c r="BH131" s="546">
        <f t="shared" si="223"/>
        <v>3.3721077357121904E-2</v>
      </c>
      <c r="BI131" s="546">
        <f t="shared" si="224"/>
        <v>4.3749999999999995E-3</v>
      </c>
      <c r="BJ131" s="546">
        <f t="shared" si="225"/>
        <v>1.3622175E-2</v>
      </c>
      <c r="BK131">
        <f t="shared" si="226"/>
        <v>3.48E-3</v>
      </c>
      <c r="BM131" s="472">
        <f t="shared" si="227"/>
        <v>65.162824001480502</v>
      </c>
      <c r="BN131" s="546">
        <f t="shared" si="228"/>
        <v>8.4000000000000005E-2</v>
      </c>
      <c r="BQ131" s="472">
        <f t="shared" si="229"/>
        <v>84</v>
      </c>
      <c r="BR131" s="546">
        <f t="shared" si="230"/>
        <v>5.6940409396334882E-3</v>
      </c>
      <c r="BS131" s="546">
        <f t="shared" si="231"/>
        <v>1.5190726308659719E-2</v>
      </c>
      <c r="BT131" s="546">
        <f t="shared" si="232"/>
        <v>1.6483898867810119E-2</v>
      </c>
      <c r="BU131" s="546"/>
      <c r="BV131" s="546">
        <f t="shared" si="233"/>
        <v>7.4200000000000004E-3</v>
      </c>
      <c r="BW131" s="472">
        <f t="shared" si="234"/>
        <v>44.788666116103336</v>
      </c>
      <c r="BX131" s="179">
        <f t="shared" si="235"/>
        <v>0.19395149011758386</v>
      </c>
      <c r="BY131" s="6">
        <f t="shared" si="236"/>
        <v>1.05</v>
      </c>
      <c r="BZ131" s="179">
        <f t="shared" si="237"/>
        <v>0.84408436208452897</v>
      </c>
      <c r="CA131" s="6">
        <f t="shared" si="238"/>
        <v>84.408436208452898</v>
      </c>
      <c r="CD131" s="581">
        <f t="shared" si="239"/>
        <v>-50</v>
      </c>
      <c r="CE131">
        <f t="shared" si="240"/>
        <v>-50</v>
      </c>
    </row>
    <row r="132" spans="5:83" x14ac:dyDescent="0.2">
      <c r="E132" s="176">
        <v>22</v>
      </c>
      <c r="F132" s="223">
        <f t="shared" si="241"/>
        <v>0.22</v>
      </c>
      <c r="G132" s="223"/>
      <c r="H132" s="223">
        <f t="shared" si="190"/>
        <v>1.1000000000000001</v>
      </c>
      <c r="I132" s="559">
        <f t="shared" si="191"/>
        <v>12</v>
      </c>
      <c r="J132" s="454">
        <f t="shared" si="192"/>
        <v>15.899999999999999</v>
      </c>
      <c r="K132" s="454">
        <f t="shared" si="193"/>
        <v>27.9</v>
      </c>
      <c r="L132" s="454"/>
      <c r="M132" s="223">
        <f t="shared" si="194"/>
        <v>0.56989247311827951</v>
      </c>
      <c r="N132" s="178">
        <f t="shared" si="242"/>
        <v>4.6161290322580646</v>
      </c>
      <c r="O132" s="178">
        <f t="shared" si="162"/>
        <v>1.1000000000000001</v>
      </c>
      <c r="P132" s="223">
        <f t="shared" si="195"/>
        <v>0.9232258064516129</v>
      </c>
      <c r="Q132" s="223">
        <f t="shared" si="196"/>
        <v>5</v>
      </c>
      <c r="R132" s="223"/>
      <c r="S132" s="178">
        <f t="shared" si="197"/>
        <v>32.85437613518863</v>
      </c>
      <c r="T132" s="178">
        <f t="shared" si="198"/>
        <v>5</v>
      </c>
      <c r="U132" s="223">
        <f t="shared" si="199"/>
        <v>0.35744234800838581</v>
      </c>
      <c r="V132" s="223">
        <f t="shared" si="200"/>
        <v>0.89360587002096459</v>
      </c>
      <c r="W132" s="223">
        <f t="shared" si="201"/>
        <v>0.67441952454412424</v>
      </c>
      <c r="X132" s="203">
        <f t="shared" si="202"/>
        <v>350</v>
      </c>
      <c r="Y132" s="454">
        <f t="shared" si="203"/>
        <v>350</v>
      </c>
      <c r="AA132" s="223">
        <f t="shared" si="204"/>
        <v>0.65130568356374818</v>
      </c>
      <c r="AB132" s="179">
        <f t="shared" si="205"/>
        <v>1.2288786482334872</v>
      </c>
      <c r="AC132" s="179">
        <f t="shared" si="206"/>
        <v>0.42019721520241832</v>
      </c>
      <c r="AD132" s="179"/>
      <c r="AE132" s="179">
        <f t="shared" si="207"/>
        <v>0.5660377358490567</v>
      </c>
      <c r="AF132" s="563">
        <f t="shared" si="208"/>
        <v>863.70370370370358</v>
      </c>
      <c r="AG132" s="546">
        <f t="shared" si="209"/>
        <v>8.9150943396226423E-2</v>
      </c>
      <c r="AI132" s="179">
        <f t="shared" si="210"/>
        <v>0.47126981453859113</v>
      </c>
      <c r="AJ132" s="179">
        <f t="shared" si="211"/>
        <v>0.47126981453859113</v>
      </c>
      <c r="AK132" s="179">
        <f t="shared" si="212"/>
        <v>1.3268665292878452</v>
      </c>
      <c r="AM132" s="563">
        <f t="shared" si="213"/>
        <v>220</v>
      </c>
      <c r="AN132" s="472">
        <f t="shared" si="214"/>
        <v>350</v>
      </c>
      <c r="AP132" s="472">
        <f t="shared" si="215"/>
        <v>220</v>
      </c>
      <c r="AQ132" s="472">
        <f t="shared" si="216"/>
        <v>350</v>
      </c>
      <c r="AS132" s="6">
        <f t="shared" si="164"/>
        <v>2.8571428571428572</v>
      </c>
      <c r="AT132" s="6">
        <f t="shared" si="217"/>
        <v>1.1781745363464777</v>
      </c>
      <c r="AU132" s="6">
        <f t="shared" si="218"/>
        <v>1.6789683207963795</v>
      </c>
      <c r="AV132" s="6"/>
      <c r="AW132" s="179">
        <f t="shared" si="219"/>
        <v>0.41236108772126717</v>
      </c>
      <c r="AX132" s="179">
        <f t="shared" si="142"/>
        <v>1.1659999999999999</v>
      </c>
      <c r="AY132" s="179">
        <f t="shared" si="143"/>
        <v>0.41540472180788679</v>
      </c>
      <c r="AZ132" s="179">
        <f t="shared" si="167"/>
        <v>2.8069011708038376</v>
      </c>
      <c r="BA132" s="472">
        <f t="shared" si="243"/>
        <v>5.1839679599245025</v>
      </c>
      <c r="BB132" s="6">
        <f t="shared" si="244"/>
        <v>0.14250502722808778</v>
      </c>
      <c r="BD132" s="179">
        <f t="shared" si="168"/>
        <v>0.17472209739914238</v>
      </c>
      <c r="BE132" s="179">
        <f t="shared" si="146"/>
        <v>0.62572790604999851</v>
      </c>
      <c r="BG132" s="546">
        <f t="shared" si="222"/>
        <v>1.0684733961844387E-2</v>
      </c>
      <c r="BH132" s="546">
        <f t="shared" si="223"/>
        <v>3.4514623042270071E-2</v>
      </c>
      <c r="BI132" s="546">
        <f t="shared" si="224"/>
        <v>4.3749999999999995E-3</v>
      </c>
      <c r="BJ132" s="546">
        <f t="shared" si="225"/>
        <v>1.3622175E-2</v>
      </c>
      <c r="BK132">
        <f t="shared" si="226"/>
        <v>3.48E-3</v>
      </c>
      <c r="BM132" s="472">
        <f t="shared" si="227"/>
        <v>66.676532004114449</v>
      </c>
      <c r="BN132" s="546">
        <f t="shared" si="228"/>
        <v>8.8000000000000009E-2</v>
      </c>
      <c r="BQ132" s="472">
        <f t="shared" si="229"/>
        <v>88.000000000000014</v>
      </c>
      <c r="BR132" s="546">
        <f t="shared" si="230"/>
        <v>6.1055622639110789E-3</v>
      </c>
      <c r="BS132" s="546">
        <f t="shared" si="231"/>
        <v>1.5661416496388629E-2</v>
      </c>
      <c r="BT132" s="546">
        <f t="shared" si="232"/>
        <v>1.7470855591184067E-2</v>
      </c>
      <c r="BU132" s="546"/>
      <c r="BV132" s="546">
        <f t="shared" si="233"/>
        <v>7.7733333333333326E-3</v>
      </c>
      <c r="BW132" s="472">
        <f t="shared" si="234"/>
        <v>47.011167684817103</v>
      </c>
      <c r="BX132" s="179">
        <f t="shared" si="235"/>
        <v>0.20168769968893155</v>
      </c>
      <c r="BY132" s="6">
        <f t="shared" si="236"/>
        <v>1.1000000000000001</v>
      </c>
      <c r="BZ132" s="179">
        <f t="shared" si="237"/>
        <v>0.84505676765853321</v>
      </c>
      <c r="CA132" s="6">
        <f t="shared" si="238"/>
        <v>84.505676765853323</v>
      </c>
      <c r="CD132" s="581">
        <f t="shared" si="239"/>
        <v>-50</v>
      </c>
      <c r="CE132">
        <f t="shared" si="240"/>
        <v>-50</v>
      </c>
    </row>
    <row r="133" spans="5:83" x14ac:dyDescent="0.2">
      <c r="E133" s="176">
        <v>23</v>
      </c>
      <c r="F133" s="223">
        <f t="shared" si="241"/>
        <v>0.23</v>
      </c>
      <c r="G133" s="223"/>
      <c r="H133" s="223">
        <f t="shared" si="190"/>
        <v>1.1500000000000001</v>
      </c>
      <c r="I133" s="559">
        <f t="shared" si="191"/>
        <v>12</v>
      </c>
      <c r="J133" s="454">
        <f t="shared" si="192"/>
        <v>15.899999999999999</v>
      </c>
      <c r="K133" s="454">
        <f t="shared" si="193"/>
        <v>27.9</v>
      </c>
      <c r="L133" s="454"/>
      <c r="M133" s="223">
        <f t="shared" si="194"/>
        <v>0.56989247311827951</v>
      </c>
      <c r="N133" s="178">
        <f t="shared" si="242"/>
        <v>4.6161290322580646</v>
      </c>
      <c r="O133" s="178">
        <f t="shared" si="162"/>
        <v>1.1500000000000001</v>
      </c>
      <c r="P133" s="223">
        <f t="shared" si="195"/>
        <v>0.9232258064516129</v>
      </c>
      <c r="Q133" s="223">
        <f t="shared" si="196"/>
        <v>5</v>
      </c>
      <c r="R133" s="223"/>
      <c r="S133" s="178">
        <f t="shared" si="197"/>
        <v>31.255419637160326</v>
      </c>
      <c r="T133" s="178">
        <f t="shared" si="198"/>
        <v>5</v>
      </c>
      <c r="U133" s="223">
        <f t="shared" si="199"/>
        <v>0.37368972746331242</v>
      </c>
      <c r="V133" s="223">
        <f t="shared" si="200"/>
        <v>0.93422431865828104</v>
      </c>
      <c r="W133" s="223">
        <f t="shared" si="201"/>
        <v>0.70507495747794802</v>
      </c>
      <c r="X133" s="203">
        <f t="shared" si="202"/>
        <v>350</v>
      </c>
      <c r="Y133" s="454">
        <f t="shared" si="203"/>
        <v>350</v>
      </c>
      <c r="AA133" s="223">
        <f t="shared" si="204"/>
        <v>0.65130568356374818</v>
      </c>
      <c r="AB133" s="179">
        <f t="shared" si="205"/>
        <v>1.2288786482334872</v>
      </c>
      <c r="AC133" s="179">
        <f t="shared" si="206"/>
        <v>0.42019721520241832</v>
      </c>
      <c r="AD133" s="179"/>
      <c r="AE133" s="179">
        <f t="shared" si="207"/>
        <v>0.5660377358490567</v>
      </c>
      <c r="AF133" s="563">
        <f t="shared" si="208"/>
        <v>902.96296296296282</v>
      </c>
      <c r="AG133" s="546">
        <f t="shared" si="209"/>
        <v>8.9150943396226423E-2</v>
      </c>
      <c r="AI133" s="179">
        <f t="shared" si="210"/>
        <v>0.48186146991690065</v>
      </c>
      <c r="AJ133" s="179">
        <f t="shared" si="211"/>
        <v>0.48186146991690065</v>
      </c>
      <c r="AK133" s="179">
        <f t="shared" si="212"/>
        <v>1.3347121999384448</v>
      </c>
      <c r="AM133" s="563">
        <f t="shared" si="213"/>
        <v>230</v>
      </c>
      <c r="AN133" s="472">
        <f t="shared" si="214"/>
        <v>350</v>
      </c>
      <c r="AP133" s="472">
        <f t="shared" si="215"/>
        <v>230</v>
      </c>
      <c r="AQ133" s="472">
        <f t="shared" si="216"/>
        <v>350</v>
      </c>
      <c r="AS133" s="6">
        <f t="shared" si="164"/>
        <v>2.8571428571428572</v>
      </c>
      <c r="AT133" s="6">
        <f t="shared" si="217"/>
        <v>1.2046536747922516</v>
      </c>
      <c r="AU133" s="6">
        <f t="shared" si="218"/>
        <v>1.6524891823506056</v>
      </c>
      <c r="AV133" s="6"/>
      <c r="AW133" s="179">
        <f t="shared" si="219"/>
        <v>0.42162878617728805</v>
      </c>
      <c r="AX133" s="179">
        <f t="shared" ref="AX133:AX196" si="245">0.5*L*AJ133^2*AN133*1000</f>
        <v>1.2189999999999999</v>
      </c>
      <c r="AY133" s="179">
        <f t="shared" ref="AY133:AY196" si="246">AJ133*Nps/2*(1-AW133)</f>
        <v>0.41804220487535104</v>
      </c>
      <c r="AZ133" s="179">
        <f t="shared" si="167"/>
        <v>2.9159735208158537</v>
      </c>
      <c r="BA133" s="472">
        <f t="shared" si="243"/>
        <v>5.5414069040443579</v>
      </c>
      <c r="BB133" s="6">
        <f t="shared" si="244"/>
        <v>0.14663291355734542</v>
      </c>
      <c r="BD133" s="179">
        <f t="shared" si="168"/>
        <v>0.18064531421002591</v>
      </c>
      <c r="BE133" s="179">
        <f t="shared" ref="BE133:BE196" si="247">AJ133*Nps*SQRT((1-AW133)/3)</f>
        <v>0.63472581691394725</v>
      </c>
      <c r="BG133" s="546">
        <f t="shared" si="222"/>
        <v>1.1421455341113647E-2</v>
      </c>
      <c r="BH133" s="546">
        <f t="shared" si="223"/>
        <v>3.5290329403039007E-2</v>
      </c>
      <c r="BI133" s="546">
        <f t="shared" si="224"/>
        <v>4.3749999999999995E-3</v>
      </c>
      <c r="BJ133" s="546">
        <f t="shared" si="225"/>
        <v>1.3622175E-2</v>
      </c>
      <c r="BK133">
        <f t="shared" si="226"/>
        <v>3.48E-3</v>
      </c>
      <c r="BM133" s="472">
        <f t="shared" si="227"/>
        <v>68.188959744152655</v>
      </c>
      <c r="BN133" s="546">
        <f t="shared" si="228"/>
        <v>9.2000000000000012E-2</v>
      </c>
      <c r="BQ133" s="472">
        <f t="shared" si="229"/>
        <v>92.000000000000014</v>
      </c>
      <c r="BR133" s="546">
        <f t="shared" si="230"/>
        <v>6.5265459092077984E-3</v>
      </c>
      <c r="BS133" s="546">
        <f t="shared" si="231"/>
        <v>1.6115074506283106E-2</v>
      </c>
      <c r="BT133" s="546">
        <f t="shared" si="232"/>
        <v>1.8469095118332907E-2</v>
      </c>
      <c r="BU133" s="546"/>
      <c r="BV133" s="546">
        <f t="shared" si="233"/>
        <v>8.1266666666666657E-3</v>
      </c>
      <c r="BW133" s="472">
        <f t="shared" si="234"/>
        <v>49.237382200490472</v>
      </c>
      <c r="BX133" s="179">
        <f t="shared" si="235"/>
        <v>0.20942634194464313</v>
      </c>
      <c r="BY133" s="6">
        <f t="shared" si="236"/>
        <v>1.1500000000000001</v>
      </c>
      <c r="BZ133" s="179">
        <f t="shared" si="237"/>
        <v>0.8459450611755388</v>
      </c>
      <c r="CA133" s="6">
        <f t="shared" si="238"/>
        <v>84.594506117553877</v>
      </c>
      <c r="CD133" s="581">
        <f t="shared" si="239"/>
        <v>-50</v>
      </c>
      <c r="CE133">
        <f t="shared" si="240"/>
        <v>-50</v>
      </c>
    </row>
    <row r="134" spans="5:83" x14ac:dyDescent="0.2">
      <c r="E134" s="176">
        <v>24</v>
      </c>
      <c r="F134" s="223">
        <f t="shared" si="241"/>
        <v>0.24</v>
      </c>
      <c r="G134" s="223"/>
      <c r="H134" s="223">
        <f t="shared" si="190"/>
        <v>1.2</v>
      </c>
      <c r="I134" s="559">
        <f t="shared" si="191"/>
        <v>12</v>
      </c>
      <c r="J134" s="454">
        <f t="shared" si="192"/>
        <v>15.899999999999999</v>
      </c>
      <c r="K134" s="454">
        <f t="shared" si="193"/>
        <v>27.9</v>
      </c>
      <c r="L134" s="454"/>
      <c r="M134" s="223">
        <f t="shared" si="194"/>
        <v>0.56989247311827951</v>
      </c>
      <c r="N134" s="178">
        <f t="shared" si="242"/>
        <v>4.6161290322580646</v>
      </c>
      <c r="O134" s="178">
        <f t="shared" ref="O134:O197" si="248">T134*F134</f>
        <v>1.2</v>
      </c>
      <c r="P134" s="223">
        <f t="shared" si="195"/>
        <v>0.9232258064516129</v>
      </c>
      <c r="Q134" s="223">
        <f t="shared" si="196"/>
        <v>5</v>
      </c>
      <c r="R134" s="223"/>
      <c r="S134" s="178">
        <f t="shared" si="197"/>
        <v>29.789880517282572</v>
      </c>
      <c r="T134" s="178">
        <f t="shared" si="198"/>
        <v>5</v>
      </c>
      <c r="U134" s="223">
        <f t="shared" si="199"/>
        <v>0.38993710691823902</v>
      </c>
      <c r="V134" s="223">
        <f t="shared" si="200"/>
        <v>0.9748427672955976</v>
      </c>
      <c r="W134" s="223">
        <f t="shared" si="201"/>
        <v>0.73573039041177191</v>
      </c>
      <c r="X134" s="203">
        <f t="shared" si="202"/>
        <v>350</v>
      </c>
      <c r="Y134" s="454">
        <f t="shared" si="203"/>
        <v>350</v>
      </c>
      <c r="AA134" s="223">
        <f t="shared" si="204"/>
        <v>0.65130568356374818</v>
      </c>
      <c r="AB134" s="179">
        <f t="shared" si="205"/>
        <v>1.2288786482334872</v>
      </c>
      <c r="AC134" s="179">
        <f t="shared" si="206"/>
        <v>0.42019721520241832</v>
      </c>
      <c r="AD134" s="179"/>
      <c r="AE134" s="179">
        <f t="shared" si="207"/>
        <v>0.5660377358490567</v>
      </c>
      <c r="AF134" s="563">
        <f t="shared" si="208"/>
        <v>942.22222222222206</v>
      </c>
      <c r="AG134" s="546">
        <f t="shared" si="209"/>
        <v>8.9150943396226423E-2</v>
      </c>
      <c r="AI134" s="179">
        <f t="shared" si="210"/>
        <v>0.49222526782532633</v>
      </c>
      <c r="AJ134" s="179">
        <f t="shared" si="211"/>
        <v>0.49222526782532633</v>
      </c>
      <c r="AK134" s="179">
        <f t="shared" si="212"/>
        <v>1.3423890872780195</v>
      </c>
      <c r="AM134" s="563">
        <f t="shared" si="213"/>
        <v>240</v>
      </c>
      <c r="AN134" s="472">
        <f t="shared" si="214"/>
        <v>350</v>
      </c>
      <c r="AP134" s="472">
        <f t="shared" si="215"/>
        <v>240</v>
      </c>
      <c r="AQ134" s="472">
        <f t="shared" si="216"/>
        <v>350</v>
      </c>
      <c r="AS134" s="6">
        <f t="shared" ref="AS134:AS197" si="249">1/AN134*1000</f>
        <v>2.8571428571428572</v>
      </c>
      <c r="AT134" s="6">
        <f t="shared" si="217"/>
        <v>1.2305631695633159</v>
      </c>
      <c r="AU134" s="6">
        <f t="shared" si="218"/>
        <v>1.6265796875795413</v>
      </c>
      <c r="AV134" s="6"/>
      <c r="AW134" s="179">
        <f t="shared" si="219"/>
        <v>0.43069710934716054</v>
      </c>
      <c r="AX134" s="179">
        <f t="shared" si="245"/>
        <v>1.2719999999999998</v>
      </c>
      <c r="AY134" s="179">
        <f t="shared" si="246"/>
        <v>0.42033790173798957</v>
      </c>
      <c r="AZ134" s="179">
        <f t="shared" ref="AZ134:AZ197" si="250">AX134/AY134</f>
        <v>3.0261368169289651</v>
      </c>
      <c r="BA134" s="472">
        <f t="shared" si="243"/>
        <v>5.9067032139039162</v>
      </c>
      <c r="BB134" s="6">
        <f t="shared" si="244"/>
        <v>0.150609230331439</v>
      </c>
      <c r="BD134" s="179">
        <f t="shared" ref="BD134:BD197" si="251">AJ134*SQRT(AW134/3)</f>
        <v>0.18650447427963504</v>
      </c>
      <c r="BE134" s="179">
        <f t="shared" si="247"/>
        <v>0.64327433690474178</v>
      </c>
      <c r="BG134" s="546">
        <f t="shared" si="222"/>
        <v>1.2174371624213066E-2</v>
      </c>
      <c r="BH134" s="546">
        <f t="shared" si="223"/>
        <v>3.6049348052357329E-2</v>
      </c>
      <c r="BI134" s="546">
        <f t="shared" si="224"/>
        <v>4.3749999999999995E-3</v>
      </c>
      <c r="BJ134" s="546">
        <f t="shared" si="225"/>
        <v>1.3622175E-2</v>
      </c>
      <c r="BK134">
        <f t="shared" si="226"/>
        <v>3.48E-3</v>
      </c>
      <c r="BM134" s="472">
        <f t="shared" si="227"/>
        <v>69.700894676570385</v>
      </c>
      <c r="BN134" s="546">
        <f t="shared" si="228"/>
        <v>9.6000000000000002E-2</v>
      </c>
      <c r="BQ134" s="472">
        <f t="shared" si="229"/>
        <v>96</v>
      </c>
      <c r="BR134" s="546">
        <f t="shared" si="230"/>
        <v>6.9567837852646105E-3</v>
      </c>
      <c r="BS134" s="546">
        <f t="shared" si="231"/>
        <v>1.655207490080941E-2</v>
      </c>
      <c r="BT134" s="546">
        <f t="shared" si="232"/>
        <v>1.9478247285035038E-2</v>
      </c>
      <c r="BU134" s="546"/>
      <c r="BV134" s="546">
        <f t="shared" si="233"/>
        <v>8.4799999999999997E-3</v>
      </c>
      <c r="BW134" s="472">
        <f t="shared" si="234"/>
        <v>51.467105971109063</v>
      </c>
      <c r="BX134" s="179">
        <f t="shared" si="235"/>
        <v>0.21716800064767941</v>
      </c>
      <c r="BY134" s="6">
        <f t="shared" si="236"/>
        <v>1.2</v>
      </c>
      <c r="BZ134" s="179">
        <f t="shared" si="237"/>
        <v>0.84675917001482637</v>
      </c>
      <c r="CA134" s="6">
        <f t="shared" si="238"/>
        <v>84.675917001482631</v>
      </c>
      <c r="CD134" s="581">
        <f t="shared" si="239"/>
        <v>-50</v>
      </c>
      <c r="CE134">
        <f t="shared" si="240"/>
        <v>-50</v>
      </c>
    </row>
    <row r="135" spans="5:83" x14ac:dyDescent="0.2">
      <c r="E135" s="176">
        <v>25</v>
      </c>
      <c r="F135" s="223">
        <f t="shared" si="241"/>
        <v>0.25</v>
      </c>
      <c r="G135" s="223"/>
      <c r="H135" s="223">
        <f t="shared" si="190"/>
        <v>1.25</v>
      </c>
      <c r="I135" s="559">
        <f t="shared" si="191"/>
        <v>12</v>
      </c>
      <c r="J135" s="454">
        <f t="shared" si="192"/>
        <v>15.899999999999999</v>
      </c>
      <c r="K135" s="454">
        <f t="shared" si="193"/>
        <v>27.9</v>
      </c>
      <c r="L135" s="454"/>
      <c r="M135" s="223">
        <f t="shared" si="194"/>
        <v>0.56989247311827951</v>
      </c>
      <c r="N135" s="178">
        <f t="shared" si="242"/>
        <v>4.6161290322580646</v>
      </c>
      <c r="O135" s="178">
        <f t="shared" si="248"/>
        <v>1.25</v>
      </c>
      <c r="P135" s="223">
        <f t="shared" si="195"/>
        <v>0.9232258064516129</v>
      </c>
      <c r="Q135" s="223">
        <f t="shared" si="196"/>
        <v>5</v>
      </c>
      <c r="R135" s="223"/>
      <c r="S135" s="178">
        <f t="shared" si="197"/>
        <v>28.441751109576622</v>
      </c>
      <c r="T135" s="178">
        <f t="shared" si="198"/>
        <v>5</v>
      </c>
      <c r="U135" s="223">
        <f t="shared" si="199"/>
        <v>0.40618448637316568</v>
      </c>
      <c r="V135" s="223">
        <f t="shared" si="200"/>
        <v>1.0154612159329142</v>
      </c>
      <c r="W135" s="223">
        <f t="shared" si="201"/>
        <v>0.76638582334559568</v>
      </c>
      <c r="X135" s="203">
        <f t="shared" si="202"/>
        <v>350</v>
      </c>
      <c r="Y135" s="454">
        <f t="shared" si="203"/>
        <v>350</v>
      </c>
      <c r="AA135" s="223">
        <f t="shared" si="204"/>
        <v>0.65130568356374818</v>
      </c>
      <c r="AB135" s="179">
        <f t="shared" si="205"/>
        <v>1.2288786482334872</v>
      </c>
      <c r="AC135" s="179">
        <f t="shared" si="206"/>
        <v>0.42019721520241832</v>
      </c>
      <c r="AD135" s="179"/>
      <c r="AE135" s="179">
        <f t="shared" si="207"/>
        <v>0.5660377358490567</v>
      </c>
      <c r="AF135" s="563">
        <f t="shared" si="208"/>
        <v>981.4814814814813</v>
      </c>
      <c r="AG135" s="546">
        <f t="shared" si="209"/>
        <v>8.9150943396226423E-2</v>
      </c>
      <c r="AI135" s="179">
        <f t="shared" si="210"/>
        <v>0.50237531028201654</v>
      </c>
      <c r="AJ135" s="179">
        <f t="shared" si="211"/>
        <v>0.50237531028201654</v>
      </c>
      <c r="AK135" s="179">
        <f t="shared" si="212"/>
        <v>1.3499076372459382</v>
      </c>
      <c r="AM135" s="563">
        <f t="shared" si="213"/>
        <v>250</v>
      </c>
      <c r="AN135" s="472">
        <f t="shared" si="214"/>
        <v>350</v>
      </c>
      <c r="AP135" s="472">
        <f t="shared" si="215"/>
        <v>250</v>
      </c>
      <c r="AQ135" s="472">
        <f t="shared" si="216"/>
        <v>350</v>
      </c>
      <c r="AS135" s="6">
        <f t="shared" si="249"/>
        <v>2.8571428571428572</v>
      </c>
      <c r="AT135" s="6">
        <f t="shared" si="217"/>
        <v>1.2559382757050415</v>
      </c>
      <c r="AU135" s="6">
        <f t="shared" si="218"/>
        <v>1.6012045814378157</v>
      </c>
      <c r="AV135" s="6"/>
      <c r="AW135" s="179">
        <f t="shared" si="219"/>
        <v>0.4395783964967645</v>
      </c>
      <c r="AX135" s="179">
        <f t="shared" si="245"/>
        <v>1.325</v>
      </c>
      <c r="AY135" s="179">
        <f t="shared" si="246"/>
        <v>0.42231296542302471</v>
      </c>
      <c r="AZ135" s="179">
        <f t="shared" si="250"/>
        <v>3.137483592701841</v>
      </c>
      <c r="BA135" s="472">
        <f t="shared" si="243"/>
        <v>6.2796913785252073</v>
      </c>
      <c r="BB135" s="6">
        <f t="shared" si="244"/>
        <v>0.15443717027756709</v>
      </c>
      <c r="BD135" s="179">
        <f t="shared" si="251"/>
        <v>0.19230289853418342</v>
      </c>
      <c r="BE135" s="179">
        <f t="shared" si="247"/>
        <v>0.65139789229089551</v>
      </c>
      <c r="BG135" s="546">
        <f t="shared" si="222"/>
        <v>1.2943141674626955E-2</v>
      </c>
      <c r="BH135" s="546">
        <f t="shared" si="223"/>
        <v>3.6792711786779182E-2</v>
      </c>
      <c r="BI135" s="546">
        <f t="shared" si="224"/>
        <v>4.3749999999999995E-3</v>
      </c>
      <c r="BJ135" s="546">
        <f t="shared" si="225"/>
        <v>1.3622175E-2</v>
      </c>
      <c r="BK135">
        <f t="shared" si="226"/>
        <v>3.48E-3</v>
      </c>
      <c r="BM135" s="472">
        <f t="shared" si="227"/>
        <v>71.21302846140614</v>
      </c>
      <c r="BN135" s="546">
        <f t="shared" si="228"/>
        <v>0.1</v>
      </c>
      <c r="BQ135" s="472">
        <f t="shared" si="229"/>
        <v>100</v>
      </c>
      <c r="BR135" s="546">
        <f t="shared" si="230"/>
        <v>7.3960809569296893E-3</v>
      </c>
      <c r="BS135" s="546">
        <f t="shared" si="231"/>
        <v>1.6972768563240842E-2</v>
      </c>
      <c r="BT135" s="546">
        <f t="shared" si="232"/>
        <v>2.0497969085072214E-2</v>
      </c>
      <c r="BU135" s="546"/>
      <c r="BV135" s="546">
        <f t="shared" si="233"/>
        <v>8.8333333333333337E-3</v>
      </c>
      <c r="BW135" s="472">
        <f t="shared" si="234"/>
        <v>53.700151938576077</v>
      </c>
      <c r="BX135" s="179">
        <f t="shared" si="235"/>
        <v>0.2249131803999822</v>
      </c>
      <c r="BY135" s="6">
        <f t="shared" si="236"/>
        <v>1.25</v>
      </c>
      <c r="BZ135" s="179">
        <f t="shared" si="237"/>
        <v>0.84750751204285268</v>
      </c>
      <c r="CA135" s="6">
        <f t="shared" si="238"/>
        <v>84.750751204285265</v>
      </c>
      <c r="CD135" s="581">
        <f t="shared" si="239"/>
        <v>-50</v>
      </c>
      <c r="CE135">
        <f t="shared" si="240"/>
        <v>-50</v>
      </c>
    </row>
    <row r="136" spans="5:83" x14ac:dyDescent="0.2">
      <c r="E136" s="176">
        <v>26</v>
      </c>
      <c r="F136" s="223">
        <f t="shared" si="241"/>
        <v>0.26</v>
      </c>
      <c r="G136" s="223"/>
      <c r="H136" s="223">
        <f t="shared" si="190"/>
        <v>1.3</v>
      </c>
      <c r="I136" s="559">
        <f t="shared" si="191"/>
        <v>12</v>
      </c>
      <c r="J136" s="454">
        <f t="shared" si="192"/>
        <v>15.899999999999999</v>
      </c>
      <c r="K136" s="454">
        <f t="shared" si="193"/>
        <v>27.9</v>
      </c>
      <c r="L136" s="454"/>
      <c r="M136" s="223">
        <f t="shared" si="194"/>
        <v>0.56989247311827951</v>
      </c>
      <c r="N136" s="178">
        <f t="shared" si="242"/>
        <v>4.6161290322580646</v>
      </c>
      <c r="O136" s="178">
        <f t="shared" si="248"/>
        <v>1.3</v>
      </c>
      <c r="P136" s="223">
        <f t="shared" si="195"/>
        <v>0.9232258064516129</v>
      </c>
      <c r="Q136" s="223">
        <f t="shared" si="196"/>
        <v>5</v>
      </c>
      <c r="R136" s="223"/>
      <c r="S136" s="178">
        <f t="shared" si="197"/>
        <v>27.197486506200882</v>
      </c>
      <c r="T136" s="178">
        <f t="shared" si="198"/>
        <v>5</v>
      </c>
      <c r="U136" s="223">
        <f t="shared" si="199"/>
        <v>0.42243186582809228</v>
      </c>
      <c r="V136" s="223">
        <f t="shared" si="200"/>
        <v>1.0560796645702306</v>
      </c>
      <c r="W136" s="223">
        <f t="shared" si="201"/>
        <v>0.79704125627941957</v>
      </c>
      <c r="X136" s="203">
        <f t="shared" si="202"/>
        <v>350</v>
      </c>
      <c r="Y136" s="454">
        <f t="shared" si="203"/>
        <v>350</v>
      </c>
      <c r="AA136" s="223">
        <f t="shared" si="204"/>
        <v>0.65130568356374818</v>
      </c>
      <c r="AB136" s="179">
        <f t="shared" si="205"/>
        <v>1.2288786482334872</v>
      </c>
      <c r="AC136" s="179">
        <f t="shared" si="206"/>
        <v>0.42019721520241832</v>
      </c>
      <c r="AD136" s="179"/>
      <c r="AE136" s="179">
        <f t="shared" si="207"/>
        <v>0.5660377358490567</v>
      </c>
      <c r="AF136" s="563">
        <f t="shared" si="208"/>
        <v>1020.7407407407405</v>
      </c>
      <c r="AG136" s="546">
        <f t="shared" si="209"/>
        <v>8.9150943396226423E-2</v>
      </c>
      <c r="AI136" s="179">
        <f t="shared" si="210"/>
        <v>0.51232430205504642</v>
      </c>
      <c r="AJ136" s="179">
        <f t="shared" si="211"/>
        <v>0.51232430205504642</v>
      </c>
      <c r="AK136" s="179">
        <f t="shared" si="212"/>
        <v>1.3572772607815158</v>
      </c>
      <c r="AM136" s="563">
        <f t="shared" si="213"/>
        <v>260</v>
      </c>
      <c r="AN136" s="472">
        <f t="shared" si="214"/>
        <v>350</v>
      </c>
      <c r="AP136" s="472">
        <f t="shared" si="215"/>
        <v>260</v>
      </c>
      <c r="AQ136" s="472">
        <f t="shared" si="216"/>
        <v>350</v>
      </c>
      <c r="AS136" s="6">
        <f t="shared" si="249"/>
        <v>2.8571428571428572</v>
      </c>
      <c r="AT136" s="6">
        <f t="shared" si="217"/>
        <v>1.2808107551376162</v>
      </c>
      <c r="AU136" s="6">
        <f t="shared" si="218"/>
        <v>1.576332102005241</v>
      </c>
      <c r="AV136" s="6"/>
      <c r="AW136" s="179">
        <f t="shared" si="219"/>
        <v>0.44828376429816569</v>
      </c>
      <c r="AX136" s="179">
        <f t="shared" si="245"/>
        <v>1.3779999999999997</v>
      </c>
      <c r="AY136" s="179">
        <f t="shared" si="246"/>
        <v>0.42398645308256971</v>
      </c>
      <c r="AZ136" s="179">
        <f t="shared" si="250"/>
        <v>3.2501038417178849</v>
      </c>
      <c r="BA136" s="472">
        <f t="shared" si="243"/>
        <v>6.6602159267156047</v>
      </c>
      <c r="BB136" s="6">
        <f t="shared" si="244"/>
        <v>0.15811973245422939</v>
      </c>
      <c r="BD136" s="179">
        <f t="shared" si="251"/>
        <v>0.19804361026914336</v>
      </c>
      <c r="BE136" s="179">
        <f t="shared" si="247"/>
        <v>0.65911844710389078</v>
      </c>
      <c r="BG136" s="546">
        <f t="shared" si="222"/>
        <v>1.3727445048952718E-2</v>
      </c>
      <c r="BH136" s="546">
        <f t="shared" si="223"/>
        <v>3.7521351071756456E-2</v>
      </c>
      <c r="BI136" s="546">
        <f t="shared" si="224"/>
        <v>4.3749999999999995E-3</v>
      </c>
      <c r="BJ136" s="546">
        <f t="shared" si="225"/>
        <v>1.3622175E-2</v>
      </c>
      <c r="BK136">
        <f t="shared" si="226"/>
        <v>3.48E-3</v>
      </c>
      <c r="BM136" s="472">
        <f t="shared" si="227"/>
        <v>72.725971120709175</v>
      </c>
      <c r="BN136" s="546">
        <f t="shared" si="228"/>
        <v>0.10400000000000001</v>
      </c>
      <c r="BQ136" s="472">
        <f t="shared" si="229"/>
        <v>104.00000000000001</v>
      </c>
      <c r="BR136" s="546">
        <f t="shared" si="230"/>
        <v>7.844254313687269E-3</v>
      </c>
      <c r="BS136" s="546">
        <f t="shared" si="231"/>
        <v>1.7377485092505779E-2</v>
      </c>
      <c r="BT136" s="546">
        <f t="shared" si="232"/>
        <v>2.1527941664211448E-2</v>
      </c>
      <c r="BU136" s="546"/>
      <c r="BV136" s="546">
        <f t="shared" si="233"/>
        <v>9.1866666666666642E-3</v>
      </c>
      <c r="BW136" s="472">
        <f t="shared" si="234"/>
        <v>55.936347737071159</v>
      </c>
      <c r="BX136" s="179">
        <f t="shared" si="235"/>
        <v>0.23266231885778038</v>
      </c>
      <c r="BY136" s="6">
        <f t="shared" si="236"/>
        <v>1.3</v>
      </c>
      <c r="BZ136" s="179">
        <f t="shared" si="237"/>
        <v>0.84819727346649165</v>
      </c>
      <c r="CA136" s="6">
        <f t="shared" si="238"/>
        <v>84.819727346649159</v>
      </c>
      <c r="CD136" s="581">
        <f t="shared" si="239"/>
        <v>-50</v>
      </c>
      <c r="CE136">
        <f t="shared" si="240"/>
        <v>-50</v>
      </c>
    </row>
    <row r="137" spans="5:83" x14ac:dyDescent="0.2">
      <c r="E137" s="176">
        <v>27</v>
      </c>
      <c r="F137" s="223">
        <f t="shared" si="241"/>
        <v>0.27</v>
      </c>
      <c r="G137" s="223"/>
      <c r="H137" s="223">
        <f t="shared" si="190"/>
        <v>1.35</v>
      </c>
      <c r="I137" s="559">
        <f t="shared" si="191"/>
        <v>12</v>
      </c>
      <c r="J137" s="454">
        <f t="shared" si="192"/>
        <v>15.899999999999999</v>
      </c>
      <c r="K137" s="454">
        <f t="shared" si="193"/>
        <v>27.9</v>
      </c>
      <c r="L137" s="454"/>
      <c r="M137" s="223">
        <f t="shared" si="194"/>
        <v>0.56989247311827951</v>
      </c>
      <c r="N137" s="178">
        <f t="shared" si="242"/>
        <v>4.6161290322580646</v>
      </c>
      <c r="O137" s="178">
        <f t="shared" si="248"/>
        <v>1.35</v>
      </c>
      <c r="P137" s="223">
        <f t="shared" si="195"/>
        <v>0.9232258064516129</v>
      </c>
      <c r="Q137" s="223">
        <f t="shared" si="196"/>
        <v>5</v>
      </c>
      <c r="R137" s="223"/>
      <c r="S137" s="178">
        <f t="shared" si="197"/>
        <v>26.04554849182102</v>
      </c>
      <c r="T137" s="178">
        <f t="shared" si="198"/>
        <v>5</v>
      </c>
      <c r="U137" s="223">
        <f t="shared" si="199"/>
        <v>0.43867924528301894</v>
      </c>
      <c r="V137" s="223">
        <f t="shared" si="200"/>
        <v>1.0966981132075473</v>
      </c>
      <c r="W137" s="223">
        <f t="shared" si="201"/>
        <v>0.82769668921324335</v>
      </c>
      <c r="X137" s="203">
        <f t="shared" si="202"/>
        <v>350</v>
      </c>
      <c r="Y137" s="454">
        <f t="shared" si="203"/>
        <v>350</v>
      </c>
      <c r="AA137" s="223">
        <f t="shared" si="204"/>
        <v>0.65130568356374818</v>
      </c>
      <c r="AB137" s="179">
        <f t="shared" si="205"/>
        <v>1.2288786482334872</v>
      </c>
      <c r="AC137" s="179">
        <f t="shared" si="206"/>
        <v>0.42019721520241832</v>
      </c>
      <c r="AD137" s="179"/>
      <c r="AE137" s="179">
        <f t="shared" si="207"/>
        <v>0.5660377358490567</v>
      </c>
      <c r="AF137" s="563">
        <f t="shared" si="208"/>
        <v>1059.9999999999998</v>
      </c>
      <c r="AG137" s="546">
        <f t="shared" si="209"/>
        <v>8.9150943396226423E-2</v>
      </c>
      <c r="AI137" s="179">
        <f t="shared" si="210"/>
        <v>0.52208373712597922</v>
      </c>
      <c r="AJ137" s="179">
        <f t="shared" si="211"/>
        <v>0.52208373712597922</v>
      </c>
      <c r="AK137" s="179">
        <f t="shared" si="212"/>
        <v>1.3645064719451698</v>
      </c>
      <c r="AM137" s="563">
        <f t="shared" si="213"/>
        <v>270</v>
      </c>
      <c r="AN137" s="472">
        <f t="shared" si="214"/>
        <v>350</v>
      </c>
      <c r="AP137" s="472">
        <f t="shared" si="215"/>
        <v>270</v>
      </c>
      <c r="AQ137" s="472">
        <f t="shared" si="216"/>
        <v>350</v>
      </c>
      <c r="AS137" s="6">
        <f t="shared" si="249"/>
        <v>2.8571428571428572</v>
      </c>
      <c r="AT137" s="6">
        <f t="shared" si="217"/>
        <v>1.3052093428149483</v>
      </c>
      <c r="AU137" s="6">
        <f t="shared" si="218"/>
        <v>1.5519335143279089</v>
      </c>
      <c r="AV137" s="6"/>
      <c r="AW137" s="179">
        <f t="shared" si="219"/>
        <v>0.45682326998523187</v>
      </c>
      <c r="AX137" s="179">
        <f t="shared" si="245"/>
        <v>1.4310000000000003</v>
      </c>
      <c r="AY137" s="179">
        <f t="shared" si="246"/>
        <v>0.42537560568896876</v>
      </c>
      <c r="AZ137" s="179">
        <f t="shared" si="250"/>
        <v>3.3640857182730315</v>
      </c>
      <c r="BA137" s="472">
        <f t="shared" si="243"/>
        <v>7.0481304512007217</v>
      </c>
      <c r="BB137" s="6">
        <f t="shared" si="244"/>
        <v>0.16165974107582382</v>
      </c>
      <c r="BD137" s="179">
        <f t="shared" si="251"/>
        <v>0.20372937221106668</v>
      </c>
      <c r="BE137" s="179">
        <f t="shared" si="247"/>
        <v>0.66645582884437848</v>
      </c>
      <c r="BG137" s="546">
        <f t="shared" si="222"/>
        <v>1.4526979985530373E-2</v>
      </c>
      <c r="BH137" s="546">
        <f t="shared" si="223"/>
        <v>3.8236107697763894E-2</v>
      </c>
      <c r="BI137" s="546">
        <f t="shared" si="224"/>
        <v>4.3749999999999995E-3</v>
      </c>
      <c r="BJ137" s="546">
        <f t="shared" si="225"/>
        <v>1.3622175E-2</v>
      </c>
      <c r="BK137">
        <f t="shared" si="226"/>
        <v>3.48E-3</v>
      </c>
      <c r="BM137" s="472">
        <f t="shared" si="227"/>
        <v>74.240262683294276</v>
      </c>
      <c r="BN137" s="546">
        <f t="shared" si="228"/>
        <v>0.10800000000000001</v>
      </c>
      <c r="BQ137" s="472">
        <f t="shared" si="229"/>
        <v>108.00000000000001</v>
      </c>
      <c r="BR137" s="546">
        <f t="shared" si="230"/>
        <v>8.3011314203030716E-3</v>
      </c>
      <c r="BS137" s="546">
        <f t="shared" si="231"/>
        <v>1.77665348720259E-2</v>
      </c>
      <c r="BT137" s="546">
        <f t="shared" si="232"/>
        <v>2.2567867750469921E-2</v>
      </c>
      <c r="BU137" s="546"/>
      <c r="BV137" s="546">
        <f t="shared" si="233"/>
        <v>9.5400000000000016E-3</v>
      </c>
      <c r="BW137" s="472">
        <f t="shared" si="234"/>
        <v>58.175534042798887</v>
      </c>
      <c r="BX137" s="179">
        <f t="shared" si="235"/>
        <v>0.24041579672609317</v>
      </c>
      <c r="BY137" s="6">
        <f t="shared" si="236"/>
        <v>1.35</v>
      </c>
      <c r="BZ137" s="179">
        <f t="shared" si="237"/>
        <v>0.84883462725848513</v>
      </c>
      <c r="CA137" s="6">
        <f t="shared" si="238"/>
        <v>84.883462725848517</v>
      </c>
      <c r="CD137" s="581">
        <f t="shared" si="239"/>
        <v>-50</v>
      </c>
      <c r="CE137">
        <f t="shared" si="240"/>
        <v>-50</v>
      </c>
    </row>
    <row r="138" spans="5:83" x14ac:dyDescent="0.2">
      <c r="E138" s="176">
        <v>28</v>
      </c>
      <c r="F138" s="223">
        <f t="shared" si="241"/>
        <v>0.28000000000000003</v>
      </c>
      <c r="G138" s="223"/>
      <c r="H138" s="223">
        <f t="shared" si="190"/>
        <v>1.4000000000000001</v>
      </c>
      <c r="I138" s="559">
        <f t="shared" si="191"/>
        <v>12</v>
      </c>
      <c r="J138" s="454">
        <f t="shared" si="192"/>
        <v>15.899999999999999</v>
      </c>
      <c r="K138" s="454">
        <f t="shared" si="193"/>
        <v>27.9</v>
      </c>
      <c r="L138" s="454"/>
      <c r="M138" s="223">
        <f t="shared" si="194"/>
        <v>0.56989247311827951</v>
      </c>
      <c r="N138" s="178">
        <f t="shared" si="242"/>
        <v>4.6161290322580646</v>
      </c>
      <c r="O138" s="178">
        <f t="shared" si="248"/>
        <v>1.4000000000000001</v>
      </c>
      <c r="P138" s="223">
        <f t="shared" si="195"/>
        <v>0.9232258064516129</v>
      </c>
      <c r="Q138" s="223">
        <f t="shared" si="196"/>
        <v>5</v>
      </c>
      <c r="R138" s="223"/>
      <c r="S138" s="178">
        <f t="shared" si="197"/>
        <v>24.976047206338574</v>
      </c>
      <c r="T138" s="178">
        <f t="shared" si="198"/>
        <v>5</v>
      </c>
      <c r="U138" s="223">
        <f t="shared" si="199"/>
        <v>0.4549266247379456</v>
      </c>
      <c r="V138" s="223">
        <f t="shared" si="200"/>
        <v>1.137316561844864</v>
      </c>
      <c r="W138" s="223">
        <f t="shared" si="201"/>
        <v>0.85835212214706724</v>
      </c>
      <c r="X138" s="203">
        <f t="shared" si="202"/>
        <v>350</v>
      </c>
      <c r="Y138" s="454">
        <f t="shared" si="203"/>
        <v>350</v>
      </c>
      <c r="AA138" s="223">
        <f t="shared" si="204"/>
        <v>0.65130568356374818</v>
      </c>
      <c r="AB138" s="179">
        <f t="shared" si="205"/>
        <v>1.2288786482334872</v>
      </c>
      <c r="AC138" s="179">
        <f t="shared" si="206"/>
        <v>0.42019721520241832</v>
      </c>
      <c r="AD138" s="179"/>
      <c r="AE138" s="179">
        <f t="shared" si="207"/>
        <v>0.5660377358490567</v>
      </c>
      <c r="AF138" s="563">
        <f t="shared" si="208"/>
        <v>1099.2592592592591</v>
      </c>
      <c r="AG138" s="546">
        <f t="shared" si="209"/>
        <v>8.9150943396226423E-2</v>
      </c>
      <c r="AI138" s="179">
        <f t="shared" si="210"/>
        <v>0.53166405433005026</v>
      </c>
      <c r="AJ138" s="179">
        <f t="shared" si="211"/>
        <v>0.53166405433005026</v>
      </c>
      <c r="AK138" s="179">
        <f t="shared" si="212"/>
        <v>1.3716030032074447</v>
      </c>
      <c r="AM138" s="563">
        <f t="shared" si="213"/>
        <v>280</v>
      </c>
      <c r="AN138" s="472">
        <f t="shared" si="214"/>
        <v>350</v>
      </c>
      <c r="AP138" s="472">
        <f t="shared" si="215"/>
        <v>280</v>
      </c>
      <c r="AQ138" s="472">
        <f t="shared" si="216"/>
        <v>350</v>
      </c>
      <c r="AS138" s="6">
        <f t="shared" si="249"/>
        <v>2.8571428571428572</v>
      </c>
      <c r="AT138" s="6">
        <f t="shared" si="217"/>
        <v>1.3291601358251257</v>
      </c>
      <c r="AU138" s="6">
        <f t="shared" si="218"/>
        <v>1.5279827213177315</v>
      </c>
      <c r="AV138" s="6"/>
      <c r="AW138" s="179">
        <f t="shared" si="219"/>
        <v>0.46520604753879397</v>
      </c>
      <c r="AX138" s="179">
        <f t="shared" si="245"/>
        <v>1.4839999999999995</v>
      </c>
      <c r="AY138" s="179">
        <f t="shared" si="246"/>
        <v>0.4264960814950754</v>
      </c>
      <c r="AZ138" s="179">
        <f t="shared" si="250"/>
        <v>3.4795161418549512</v>
      </c>
      <c r="BA138" s="472">
        <f t="shared" si="243"/>
        <v>7.4432967606207043</v>
      </c>
      <c r="BB138" s="6">
        <f t="shared" si="244"/>
        <v>0.16505986187074256</v>
      </c>
      <c r="BD138" s="179">
        <f t="shared" si="251"/>
        <v>0.20936271776589527</v>
      </c>
      <c r="BE138" s="179">
        <f t="shared" si="247"/>
        <v>0.67342800037353845</v>
      </c>
      <c r="BG138" s="546">
        <f t="shared" si="222"/>
        <v>1.5341461656612669E-2</v>
      </c>
      <c r="BH138" s="546">
        <f t="shared" si="223"/>
        <v>3.8937746178997049E-2</v>
      </c>
      <c r="BI138" s="546">
        <f t="shared" si="224"/>
        <v>4.3749999999999995E-3</v>
      </c>
      <c r="BJ138" s="546">
        <f t="shared" si="225"/>
        <v>1.3622175E-2</v>
      </c>
      <c r="BK138">
        <f t="shared" si="226"/>
        <v>3.48E-3</v>
      </c>
      <c r="BM138" s="472">
        <f t="shared" si="227"/>
        <v>75.756382835609713</v>
      </c>
      <c r="BN138" s="546">
        <f t="shared" si="228"/>
        <v>0.11200000000000002</v>
      </c>
      <c r="BQ138" s="472">
        <f t="shared" si="229"/>
        <v>112.00000000000001</v>
      </c>
      <c r="BR138" s="546">
        <f t="shared" si="230"/>
        <v>8.7665495180643833E-3</v>
      </c>
      <c r="BS138" s="546">
        <f t="shared" si="231"/>
        <v>1.8140210867484102E-2</v>
      </c>
      <c r="BT138" s="546">
        <f t="shared" si="232"/>
        <v>2.3617469443425174E-2</v>
      </c>
      <c r="BU138" s="546"/>
      <c r="BV138" s="546">
        <f t="shared" si="233"/>
        <v>9.8933333333333321E-3</v>
      </c>
      <c r="BW138" s="472">
        <f t="shared" si="234"/>
        <v>60.41756316230699</v>
      </c>
      <c r="BX138" s="179">
        <f t="shared" si="235"/>
        <v>0.24817394599791673</v>
      </c>
      <c r="BY138" s="6">
        <f t="shared" si="236"/>
        <v>1.4000000000000001</v>
      </c>
      <c r="BZ138" s="179">
        <f t="shared" si="237"/>
        <v>0.84942490651515834</v>
      </c>
      <c r="CA138" s="6">
        <f t="shared" si="238"/>
        <v>84.94249065151584</v>
      </c>
      <c r="CD138" s="581">
        <f t="shared" si="239"/>
        <v>-50</v>
      </c>
      <c r="CE138">
        <f t="shared" si="240"/>
        <v>-50</v>
      </c>
    </row>
    <row r="139" spans="5:83" x14ac:dyDescent="0.2">
      <c r="E139" s="176">
        <v>29</v>
      </c>
      <c r="F139" s="223">
        <f t="shared" si="241"/>
        <v>0.28999999999999998</v>
      </c>
      <c r="G139" s="223"/>
      <c r="H139" s="223">
        <f t="shared" si="190"/>
        <v>1.45</v>
      </c>
      <c r="I139" s="559">
        <f t="shared" si="191"/>
        <v>12</v>
      </c>
      <c r="J139" s="454">
        <f t="shared" si="192"/>
        <v>15.899999999999999</v>
      </c>
      <c r="K139" s="454">
        <f t="shared" si="193"/>
        <v>27.9</v>
      </c>
      <c r="L139" s="454"/>
      <c r="M139" s="223">
        <f t="shared" si="194"/>
        <v>0.56989247311827951</v>
      </c>
      <c r="N139" s="178">
        <f t="shared" si="242"/>
        <v>4.6161290322580646</v>
      </c>
      <c r="O139" s="178">
        <f t="shared" si="248"/>
        <v>1.45</v>
      </c>
      <c r="P139" s="223">
        <f t="shared" si="195"/>
        <v>0.9232258064516129</v>
      </c>
      <c r="Q139" s="223">
        <f t="shared" si="196"/>
        <v>5</v>
      </c>
      <c r="R139" s="223"/>
      <c r="S139" s="178">
        <f t="shared" si="197"/>
        <v>23.980456946374126</v>
      </c>
      <c r="T139" s="178">
        <f t="shared" si="198"/>
        <v>5</v>
      </c>
      <c r="U139" s="223">
        <f t="shared" si="199"/>
        <v>0.47117400419287214</v>
      </c>
      <c r="V139" s="223">
        <f t="shared" si="200"/>
        <v>1.1779350104821804</v>
      </c>
      <c r="W139" s="223">
        <f t="shared" si="201"/>
        <v>0.88900755508089091</v>
      </c>
      <c r="X139" s="203">
        <f t="shared" si="202"/>
        <v>350</v>
      </c>
      <c r="Y139" s="454">
        <f t="shared" si="203"/>
        <v>350</v>
      </c>
      <c r="AA139" s="223">
        <f t="shared" si="204"/>
        <v>0.65130568356374818</v>
      </c>
      <c r="AB139" s="179">
        <f t="shared" si="205"/>
        <v>1.2288786482334872</v>
      </c>
      <c r="AC139" s="179">
        <f t="shared" si="206"/>
        <v>0.42019721520241832</v>
      </c>
      <c r="AD139" s="179"/>
      <c r="AE139" s="179">
        <f t="shared" si="207"/>
        <v>0.5660377358490567</v>
      </c>
      <c r="AF139" s="563">
        <f t="shared" si="208"/>
        <v>1138.5185185185182</v>
      </c>
      <c r="AG139" s="546">
        <f t="shared" si="209"/>
        <v>8.9150943396226423E-2</v>
      </c>
      <c r="AI139" s="179">
        <f t="shared" si="210"/>
        <v>0.54107476818079836</v>
      </c>
      <c r="AJ139" s="179">
        <f t="shared" si="211"/>
        <v>0.54107476818079836</v>
      </c>
      <c r="AK139" s="179">
        <f t="shared" si="212"/>
        <v>1.378573902356147</v>
      </c>
      <c r="AM139" s="563">
        <f t="shared" si="213"/>
        <v>290</v>
      </c>
      <c r="AN139" s="472">
        <f t="shared" si="214"/>
        <v>350</v>
      </c>
      <c r="AP139" s="472">
        <f t="shared" si="215"/>
        <v>290</v>
      </c>
      <c r="AQ139" s="472">
        <f t="shared" si="216"/>
        <v>350</v>
      </c>
      <c r="AS139" s="6">
        <f t="shared" si="249"/>
        <v>2.8571428571428572</v>
      </c>
      <c r="AT139" s="6">
        <f t="shared" si="217"/>
        <v>1.352686920451996</v>
      </c>
      <c r="AU139" s="6">
        <f t="shared" si="218"/>
        <v>1.5044559366908612</v>
      </c>
      <c r="AV139" s="6"/>
      <c r="AW139" s="179">
        <f t="shared" si="219"/>
        <v>0.47344042215819859</v>
      </c>
      <c r="AX139" s="179">
        <f t="shared" si="245"/>
        <v>1.5369999999999995</v>
      </c>
      <c r="AY139" s="179">
        <f t="shared" si="246"/>
        <v>0.42736215227119762</v>
      </c>
      <c r="AZ139" s="179">
        <f t="shared" si="250"/>
        <v>3.5964813258068822</v>
      </c>
      <c r="BA139" s="472">
        <f t="shared" si="243"/>
        <v>7.845584138621577</v>
      </c>
      <c r="BB139" s="6">
        <f t="shared" si="244"/>
        <v>0.16832261637359169</v>
      </c>
      <c r="BD139" s="179">
        <f t="shared" si="251"/>
        <v>0.21494597754033801</v>
      </c>
      <c r="BE139" s="179">
        <f t="shared" si="247"/>
        <v>0.68005128846195906</v>
      </c>
      <c r="BG139" s="546">
        <f t="shared" si="222"/>
        <v>1.617062064127002E-2</v>
      </c>
      <c r="BH139" s="546">
        <f t="shared" si="223"/>
        <v>3.9626963334641212E-2</v>
      </c>
      <c r="BI139" s="546">
        <f t="shared" si="224"/>
        <v>4.3749999999999995E-3</v>
      </c>
      <c r="BJ139" s="546">
        <f t="shared" si="225"/>
        <v>1.3622175E-2</v>
      </c>
      <c r="BK139">
        <f t="shared" si="226"/>
        <v>3.48E-3</v>
      </c>
      <c r="BM139" s="472">
        <f t="shared" si="227"/>
        <v>77.274758975911226</v>
      </c>
      <c r="BN139" s="546">
        <f t="shared" si="228"/>
        <v>0.11599999999999999</v>
      </c>
      <c r="BQ139" s="472">
        <f t="shared" si="229"/>
        <v>115.99999999999999</v>
      </c>
      <c r="BR139" s="546">
        <f t="shared" si="230"/>
        <v>9.2403546521542985E-3</v>
      </c>
      <c r="BS139" s="546">
        <f t="shared" si="231"/>
        <v>1.8498790197550824E-2</v>
      </c>
      <c r="BT139" s="546">
        <f t="shared" si="232"/>
        <v>2.4676486301294653E-2</v>
      </c>
      <c r="BU139" s="546"/>
      <c r="BV139" s="546">
        <f t="shared" si="233"/>
        <v>1.0246666666666664E-2</v>
      </c>
      <c r="BW139" s="472">
        <f t="shared" si="234"/>
        <v>62.662297817666442</v>
      </c>
      <c r="BX139" s="179">
        <f t="shared" si="235"/>
        <v>0.2559370567935777</v>
      </c>
      <c r="BY139" s="6">
        <f t="shared" si="236"/>
        <v>1.45</v>
      </c>
      <c r="BZ139" s="179">
        <f t="shared" si="237"/>
        <v>0.84997274326484917</v>
      </c>
      <c r="CA139" s="6">
        <f t="shared" si="238"/>
        <v>84.997274326484913</v>
      </c>
      <c r="CD139" s="581">
        <f t="shared" si="239"/>
        <v>-50</v>
      </c>
      <c r="CE139">
        <f t="shared" si="240"/>
        <v>-50</v>
      </c>
    </row>
    <row r="140" spans="5:83" x14ac:dyDescent="0.2">
      <c r="E140" s="176">
        <v>30</v>
      </c>
      <c r="F140" s="223">
        <f t="shared" si="241"/>
        <v>0.3</v>
      </c>
      <c r="G140" s="223"/>
      <c r="H140" s="223">
        <f t="shared" si="190"/>
        <v>1.5</v>
      </c>
      <c r="I140" s="559">
        <f t="shared" si="191"/>
        <v>12</v>
      </c>
      <c r="J140" s="454">
        <f t="shared" si="192"/>
        <v>15.899999999999999</v>
      </c>
      <c r="K140" s="454">
        <f t="shared" si="193"/>
        <v>27.9</v>
      </c>
      <c r="L140" s="454"/>
      <c r="M140" s="223">
        <f t="shared" si="194"/>
        <v>0.56989247311827951</v>
      </c>
      <c r="N140" s="178">
        <f t="shared" si="242"/>
        <v>4.6161290322580646</v>
      </c>
      <c r="O140" s="178">
        <f t="shared" si="248"/>
        <v>1.5</v>
      </c>
      <c r="P140" s="223">
        <f t="shared" si="195"/>
        <v>0.9232258064516129</v>
      </c>
      <c r="Q140" s="223">
        <f t="shared" si="196"/>
        <v>5</v>
      </c>
      <c r="R140" s="223"/>
      <c r="S140" s="178">
        <f t="shared" si="197"/>
        <v>23.051388806462249</v>
      </c>
      <c r="T140" s="178">
        <f t="shared" si="198"/>
        <v>5</v>
      </c>
      <c r="U140" s="223">
        <f t="shared" si="199"/>
        <v>0.4874213836477988</v>
      </c>
      <c r="V140" s="223">
        <f t="shared" si="200"/>
        <v>1.2185534591194971</v>
      </c>
      <c r="W140" s="223">
        <f t="shared" si="201"/>
        <v>0.9196629880147148</v>
      </c>
      <c r="X140" s="203">
        <f t="shared" si="202"/>
        <v>350</v>
      </c>
      <c r="Y140" s="454">
        <f t="shared" si="203"/>
        <v>350</v>
      </c>
      <c r="AA140" s="223">
        <f t="shared" si="204"/>
        <v>0.65130568356374818</v>
      </c>
      <c r="AB140" s="179">
        <f t="shared" si="205"/>
        <v>1.2288786482334872</v>
      </c>
      <c r="AC140" s="179">
        <f t="shared" si="206"/>
        <v>0.42019721520241832</v>
      </c>
      <c r="AD140" s="179"/>
      <c r="AE140" s="179">
        <f t="shared" si="207"/>
        <v>0.5660377358490567</v>
      </c>
      <c r="AF140" s="563">
        <f t="shared" si="208"/>
        <v>1177.7777777777776</v>
      </c>
      <c r="AG140" s="546">
        <f t="shared" si="209"/>
        <v>8.9150943396226423E-2</v>
      </c>
      <c r="AI140" s="179">
        <f t="shared" si="210"/>
        <v>0.55032457955023495</v>
      </c>
      <c r="AJ140" s="179">
        <f t="shared" si="211"/>
        <v>0.55032457955023495</v>
      </c>
      <c r="AK140" s="179">
        <f t="shared" si="212"/>
        <v>1.3854256144816555</v>
      </c>
      <c r="AM140" s="563">
        <f t="shared" si="213"/>
        <v>300</v>
      </c>
      <c r="AN140" s="472">
        <f t="shared" si="214"/>
        <v>350</v>
      </c>
      <c r="AP140" s="472">
        <f t="shared" si="215"/>
        <v>300</v>
      </c>
      <c r="AQ140" s="472">
        <f t="shared" si="216"/>
        <v>350</v>
      </c>
      <c r="AS140" s="6">
        <f t="shared" si="249"/>
        <v>2.8571428571428572</v>
      </c>
      <c r="AT140" s="6">
        <f t="shared" si="217"/>
        <v>1.3758114488755875</v>
      </c>
      <c r="AU140" s="6">
        <f t="shared" si="218"/>
        <v>1.4813314082672697</v>
      </c>
      <c r="AV140" s="6"/>
      <c r="AW140" s="179">
        <f t="shared" si="219"/>
        <v>0.48153400710645561</v>
      </c>
      <c r="AX140" s="179">
        <f t="shared" si="245"/>
        <v>1.59</v>
      </c>
      <c r="AY140" s="179">
        <f t="shared" si="246"/>
        <v>0.4279868693253524</v>
      </c>
      <c r="AZ140" s="179">
        <f t="shared" si="250"/>
        <v>3.7150672461198666</v>
      </c>
      <c r="BA140" s="472">
        <f t="shared" si="243"/>
        <v>8.254868693253524</v>
      </c>
      <c r="BB140" s="6">
        <f t="shared" si="244"/>
        <v>0.17145039447537838</v>
      </c>
      <c r="BD140" s="179">
        <f t="shared" si="251"/>
        <v>0.22048130198939192</v>
      </c>
      <c r="BE140" s="179">
        <f t="shared" si="247"/>
        <v>0.68634057714009</v>
      </c>
      <c r="BG140" s="546">
        <f t="shared" si="222"/>
        <v>1.7014201584428103E-2</v>
      </c>
      <c r="BH140" s="546">
        <f t="shared" si="223"/>
        <v>4.0304396394810323E-2</v>
      </c>
      <c r="BI140" s="546">
        <f t="shared" si="224"/>
        <v>4.3749999999999995E-3</v>
      </c>
      <c r="BJ140" s="546">
        <f t="shared" si="225"/>
        <v>1.3622175E-2</v>
      </c>
      <c r="BK140">
        <f t="shared" si="226"/>
        <v>3.48E-3</v>
      </c>
      <c r="BM140" s="472">
        <f t="shared" si="227"/>
        <v>78.795772979238407</v>
      </c>
      <c r="BN140" s="546">
        <f t="shared" si="228"/>
        <v>0.12</v>
      </c>
      <c r="BQ140" s="472">
        <f t="shared" si="229"/>
        <v>120</v>
      </c>
      <c r="BR140" s="546">
        <f t="shared" si="230"/>
        <v>9.722400905387488E-3</v>
      </c>
      <c r="BS140" s="546">
        <f t="shared" si="231"/>
        <v>1.8842535513159672E-2</v>
      </c>
      <c r="BT140" s="546">
        <f t="shared" si="232"/>
        <v>2.5744673676731555E-2</v>
      </c>
      <c r="BU140" s="546"/>
      <c r="BV140" s="546">
        <f t="shared" si="233"/>
        <v>1.0600000000000002E-2</v>
      </c>
      <c r="BW140" s="472">
        <f t="shared" si="234"/>
        <v>64.909610095278722</v>
      </c>
      <c r="BX140" s="179">
        <f t="shared" si="235"/>
        <v>0.26370538307451713</v>
      </c>
      <c r="BY140" s="6">
        <f t="shared" si="236"/>
        <v>1.5</v>
      </c>
      <c r="BZ140" s="179">
        <f t="shared" si="237"/>
        <v>0.85048218052449209</v>
      </c>
      <c r="CA140" s="6">
        <f t="shared" si="238"/>
        <v>85.048218052449215</v>
      </c>
      <c r="CD140" s="581">
        <f t="shared" si="239"/>
        <v>-50</v>
      </c>
      <c r="CE140">
        <f t="shared" si="240"/>
        <v>-50</v>
      </c>
    </row>
    <row r="141" spans="5:83" x14ac:dyDescent="0.2">
      <c r="E141" s="176">
        <v>31</v>
      </c>
      <c r="F141" s="223">
        <f t="shared" si="241"/>
        <v>0.31</v>
      </c>
      <c r="G141" s="223"/>
      <c r="H141" s="223">
        <f t="shared" si="190"/>
        <v>1.55</v>
      </c>
      <c r="I141" s="559">
        <f t="shared" si="191"/>
        <v>12</v>
      </c>
      <c r="J141" s="454">
        <f t="shared" si="192"/>
        <v>15.899999999999999</v>
      </c>
      <c r="K141" s="454">
        <f t="shared" si="193"/>
        <v>27.9</v>
      </c>
      <c r="L141" s="454"/>
      <c r="M141" s="223">
        <f t="shared" si="194"/>
        <v>0.56989247311827951</v>
      </c>
      <c r="N141" s="178">
        <f t="shared" si="242"/>
        <v>4.6161290322580646</v>
      </c>
      <c r="O141" s="178">
        <f t="shared" si="248"/>
        <v>1.55</v>
      </c>
      <c r="P141" s="223">
        <f t="shared" si="195"/>
        <v>0.9232258064516129</v>
      </c>
      <c r="Q141" s="223">
        <f t="shared" si="196"/>
        <v>5</v>
      </c>
      <c r="R141" s="223"/>
      <c r="S141" s="178">
        <f t="shared" si="197"/>
        <v>22.182407325184482</v>
      </c>
      <c r="T141" s="178">
        <f t="shared" si="198"/>
        <v>5</v>
      </c>
      <c r="U141" s="223">
        <f t="shared" si="199"/>
        <v>0.50366876310272546</v>
      </c>
      <c r="V141" s="223">
        <f t="shared" si="200"/>
        <v>1.2591719077568135</v>
      </c>
      <c r="W141" s="223">
        <f t="shared" si="201"/>
        <v>0.95031842094853869</v>
      </c>
      <c r="X141" s="203">
        <f t="shared" si="202"/>
        <v>350</v>
      </c>
      <c r="Y141" s="454">
        <f t="shared" si="203"/>
        <v>350</v>
      </c>
      <c r="AA141" s="223">
        <f t="shared" si="204"/>
        <v>0.65130568356374818</v>
      </c>
      <c r="AB141" s="179">
        <f t="shared" si="205"/>
        <v>1.2288786482334872</v>
      </c>
      <c r="AC141" s="179">
        <f t="shared" si="206"/>
        <v>0.42019721520241832</v>
      </c>
      <c r="AD141" s="179"/>
      <c r="AE141" s="179">
        <f t="shared" si="207"/>
        <v>0.5660377358490567</v>
      </c>
      <c r="AF141" s="563">
        <f t="shared" si="208"/>
        <v>1217.037037037037</v>
      </c>
      <c r="AG141" s="546">
        <f t="shared" si="209"/>
        <v>8.9150943396226423E-2</v>
      </c>
      <c r="AI141" s="179">
        <f t="shared" si="210"/>
        <v>0.55942146987077723</v>
      </c>
      <c r="AJ141" s="179">
        <f t="shared" si="211"/>
        <v>0.55942146987077723</v>
      </c>
      <c r="AK141" s="179">
        <f t="shared" si="212"/>
        <v>1.3921640517561311</v>
      </c>
      <c r="AM141" s="563">
        <f t="shared" si="213"/>
        <v>310</v>
      </c>
      <c r="AN141" s="472">
        <f t="shared" si="214"/>
        <v>350</v>
      </c>
      <c r="AP141" s="472">
        <f t="shared" si="215"/>
        <v>310</v>
      </c>
      <c r="AQ141" s="472">
        <f t="shared" si="216"/>
        <v>350</v>
      </c>
      <c r="AS141" s="6">
        <f t="shared" si="249"/>
        <v>2.8571428571428572</v>
      </c>
      <c r="AT141" s="6">
        <f t="shared" si="217"/>
        <v>1.3985536746769429</v>
      </c>
      <c r="AU141" s="6">
        <f t="shared" si="218"/>
        <v>1.4585891824659143</v>
      </c>
      <c r="AV141" s="6"/>
      <c r="AW141" s="179">
        <f t="shared" si="219"/>
        <v>0.48949378613693001</v>
      </c>
      <c r="AX141" s="179">
        <f t="shared" si="245"/>
        <v>1.643</v>
      </c>
      <c r="AY141" s="179">
        <f t="shared" si="246"/>
        <v>0.42838220480616596</v>
      </c>
      <c r="AZ141" s="179">
        <f t="shared" si="250"/>
        <v>3.83536006296859</v>
      </c>
      <c r="BA141" s="472">
        <f t="shared" si="243"/>
        <v>8.6710327829970453</v>
      </c>
      <c r="BB141" s="6">
        <f t="shared" si="244"/>
        <v>0.17444546549553758</v>
      </c>
      <c r="BD141" s="179">
        <f t="shared" si="251"/>
        <v>0.22597068086586497</v>
      </c>
      <c r="BE141" s="179">
        <f t="shared" si="247"/>
        <v>0.69230947224366313</v>
      </c>
      <c r="BG141" s="546">
        <f t="shared" si="222"/>
        <v>1.7871962013843907E-2</v>
      </c>
      <c r="BH141" s="546">
        <f t="shared" si="223"/>
        <v>4.0970629899661042E-2</v>
      </c>
      <c r="BI141" s="546">
        <f t="shared" si="224"/>
        <v>4.3749999999999995E-3</v>
      </c>
      <c r="BJ141" s="546">
        <f t="shared" si="225"/>
        <v>1.3622175E-2</v>
      </c>
      <c r="BK141">
        <f t="shared" si="226"/>
        <v>3.48E-3</v>
      </c>
      <c r="BM141" s="472">
        <f t="shared" si="227"/>
        <v>80.319766913504949</v>
      </c>
      <c r="BN141" s="546">
        <f t="shared" si="228"/>
        <v>0.124</v>
      </c>
      <c r="BQ141" s="472">
        <f t="shared" si="229"/>
        <v>124</v>
      </c>
      <c r="BR141" s="546">
        <f t="shared" si="230"/>
        <v>1.0212549722196519E-2</v>
      </c>
      <c r="BS141" s="546">
        <f t="shared" si="231"/>
        <v>1.9171696214331974E-2</v>
      </c>
      <c r="BT141" s="546">
        <f t="shared" si="232"/>
        <v>2.682180126173974E-2</v>
      </c>
      <c r="BU141" s="546"/>
      <c r="BV141" s="546">
        <f t="shared" si="233"/>
        <v>1.0953333333333332E-2</v>
      </c>
      <c r="BW141" s="472">
        <f t="shared" si="234"/>
        <v>67.159380531601556</v>
      </c>
      <c r="BX141" s="179">
        <f t="shared" si="235"/>
        <v>0.27147914744510648</v>
      </c>
      <c r="BY141" s="6">
        <f t="shared" si="236"/>
        <v>1.55</v>
      </c>
      <c r="BZ141" s="179">
        <f t="shared" si="237"/>
        <v>0.85095676344914739</v>
      </c>
      <c r="CA141" s="6">
        <f t="shared" si="238"/>
        <v>85.095676344914736</v>
      </c>
      <c r="CD141" s="581">
        <f t="shared" si="239"/>
        <v>-50</v>
      </c>
      <c r="CE141">
        <f t="shared" si="240"/>
        <v>-50</v>
      </c>
    </row>
    <row r="142" spans="5:83" x14ac:dyDescent="0.2">
      <c r="E142" s="176">
        <v>32</v>
      </c>
      <c r="F142" s="223">
        <f t="shared" si="241"/>
        <v>0.32</v>
      </c>
      <c r="G142" s="223"/>
      <c r="H142" s="223">
        <f t="shared" ref="H142:H173" si="252">F142*Vout</f>
        <v>1.6</v>
      </c>
      <c r="I142" s="559">
        <f t="shared" ref="I142:I173" si="253">VIN_min</f>
        <v>12</v>
      </c>
      <c r="J142" s="454">
        <f t="shared" ref="J142:J173" si="254">(T142+Vfwd1)*Nps</f>
        <v>15.899999999999999</v>
      </c>
      <c r="K142" s="454">
        <f t="shared" ref="K142:K173" si="255">(Vout+Vfwd1)*Nps+I142</f>
        <v>27.9</v>
      </c>
      <c r="L142" s="454"/>
      <c r="M142" s="223">
        <f t="shared" ref="M142:M173" si="256">(Vout+Vfwd1)*Nps/((Vout+Vfwd1)*Nps+I142)</f>
        <v>0.56989247311827951</v>
      </c>
      <c r="N142" s="178">
        <f t="shared" ref="N142:N173" si="257">M142*I142*Isw_max*0.5*Efficiency</f>
        <v>4.6161290322580646</v>
      </c>
      <c r="O142" s="178">
        <f t="shared" si="248"/>
        <v>1.6</v>
      </c>
      <c r="P142" s="223">
        <f t="shared" ref="P142:P173" si="258">N142/Vout</f>
        <v>0.9232258064516129</v>
      </c>
      <c r="Q142" s="223">
        <f t="shared" ref="Q142:Q173" si="259">MIN(Vout,N142/F142)</f>
        <v>5</v>
      </c>
      <c r="R142" s="223"/>
      <c r="S142" s="178">
        <f t="shared" ref="S142:S173" si="260">(SQRT(Isw_max^2*Nps^2*I142^2+4*Isw_max*F142/Efficiency*(Nps^2*Vfwd1*I142-Nps*I142^2)+4*(F142/Efficiency)^2*Nps^2*Vfwd1^2+8*(F142/Efficiency)^2*Nps*Vfwd1*I142+4*(F142/Efficiency)^2*I142^2)-2*F142/Efficiency*I142-2*F142/Efficiency*Nps*Vfwd1+Isw_max*Nps*I142)/(4*F142/Efficiency*Nps)</f>
        <v>21.367881510159972</v>
      </c>
      <c r="T142" s="178">
        <f t="shared" ref="T142:T173" si="261">MIN(Vout, S142)</f>
        <v>5</v>
      </c>
      <c r="U142" s="223">
        <f t="shared" ref="U142:U173" si="262">MIN(2*Vout*F142/(Efficiency*I142*M142), Isw_max)</f>
        <v>0.51991614255765206</v>
      </c>
      <c r="V142" s="223">
        <f t="shared" ref="V142:V173" si="263">L*U142/I142*1000000</f>
        <v>1.2997903563941302</v>
      </c>
      <c r="W142" s="223">
        <f t="shared" ref="W142:W173" si="264">L*U142/J142*1000000</f>
        <v>0.98097385388236236</v>
      </c>
      <c r="X142" s="203">
        <f t="shared" ref="X142:X173" si="265">IF(1/((350000*L)*(1/I142+1/J142))&gt;Isw_min, 350, 0.001/((Isw_min*L)*(1/I142+1/J142)))</f>
        <v>350</v>
      </c>
      <c r="Y142" s="454">
        <f t="shared" si="203"/>
        <v>350</v>
      </c>
      <c r="AA142" s="223">
        <f t="shared" ref="AA142:AA173" si="266">1/((X142*1000*L)*(1/I142+1/J142))</f>
        <v>0.65130568356374818</v>
      </c>
      <c r="AB142" s="179">
        <f t="shared" ref="AB142:AB173" si="267">L*AA142/J142*1000000</f>
        <v>1.2288786482334872</v>
      </c>
      <c r="AC142" s="179">
        <f t="shared" ref="AC142:AC173" si="268">0.5*AB142*AA142*Nps*X142/1000</f>
        <v>0.42019721520241832</v>
      </c>
      <c r="AD142" s="179"/>
      <c r="AE142" s="179">
        <f t="shared" ref="AE142:AE173" si="269">L*Isw_min/J142*1000000</f>
        <v>0.5660377358490567</v>
      </c>
      <c r="AF142" s="563">
        <f t="shared" ref="AF142:AF173" si="270">MAX(10000,F142/(0.5*AE142/1000000*Isw_min*Nps))/1000</f>
        <v>1256.2962962962961</v>
      </c>
      <c r="AG142" s="546">
        <f t="shared" ref="AG142:AG173" si="271">0.5*AE142/1000000*Isw_min*Nps*X142*1000</f>
        <v>8.9150943396226423E-2</v>
      </c>
      <c r="AI142" s="179">
        <f t="shared" ref="AI142:AI173" si="272">SQRT(F142/(0.5*L/J142*Fsw_DCM*Nps))</f>
        <v>0.56837278176177564</v>
      </c>
      <c r="AJ142" s="179">
        <f t="shared" ref="AJ142:AJ173" si="273">MAX(IF(F142&gt;AC142,U142,AI142),Isw_min)</f>
        <v>0.56837278176177564</v>
      </c>
      <c r="AK142" s="179">
        <f t="shared" ref="AK142:AK173" si="274">IF(F142&gt;AG142, (AJ142-Isw_min)/1.08*0.8+1.2, AF142*0.2/350+1)</f>
        <v>1.3987946531568709</v>
      </c>
      <c r="AM142" s="563">
        <f t="shared" ref="AM142:AM173" si="275">F142*1000</f>
        <v>320</v>
      </c>
      <c r="AN142" s="472">
        <f t="shared" ref="AN142:AN173" si="276">IF(F142&gt;AG142, Y142, AF142)</f>
        <v>350</v>
      </c>
      <c r="AP142" s="472">
        <f t="shared" ref="AP142:AP173" si="277">IF(H142&gt;N142, "",AM142)</f>
        <v>320</v>
      </c>
      <c r="AQ142" s="472">
        <f t="shared" ref="AQ142:AQ173" si="278">IF(H142&gt;N142, "",AN142)</f>
        <v>350</v>
      </c>
      <c r="AS142" s="6">
        <f t="shared" si="249"/>
        <v>2.8571428571428572</v>
      </c>
      <c r="AT142" s="6">
        <f t="shared" ref="AT142:AT173" si="279">L*AJ142/I142*1000000</f>
        <v>1.4209319544044392</v>
      </c>
      <c r="AU142" s="6">
        <f t="shared" si="218"/>
        <v>1.436210902738418</v>
      </c>
      <c r="AV142" s="6"/>
      <c r="AW142" s="179">
        <f t="shared" si="219"/>
        <v>0.49732618404155371</v>
      </c>
      <c r="AX142" s="179">
        <f t="shared" si="245"/>
        <v>1.6959999999999997</v>
      </c>
      <c r="AY142" s="179">
        <f t="shared" si="246"/>
        <v>0.42855917264266347</v>
      </c>
      <c r="AZ142" s="179">
        <f t="shared" si="250"/>
        <v>3.9574465050924017</v>
      </c>
      <c r="BA142" s="472">
        <f t="shared" si="243"/>
        <v>9.0939645081884102</v>
      </c>
      <c r="BB142" s="6">
        <f t="shared" si="244"/>
        <v>0.17730998799239728</v>
      </c>
      <c r="BD142" s="179">
        <f t="shared" si="251"/>
        <v>0.23141596001188131</v>
      </c>
      <c r="BE142" s="179">
        <f t="shared" si="247"/>
        <v>0.69797044221719828</v>
      </c>
      <c r="BG142" s="546">
        <f t="shared" si="222"/>
        <v>1.8743671291877224E-2</v>
      </c>
      <c r="BH142" s="546">
        <f t="shared" si="223"/>
        <v>4.1626201604278032E-2</v>
      </c>
      <c r="BI142" s="546">
        <f t="shared" si="224"/>
        <v>4.3749999999999995E-3</v>
      </c>
      <c r="BJ142" s="546">
        <f t="shared" si="225"/>
        <v>1.3622175E-2</v>
      </c>
      <c r="BK142">
        <f t="shared" si="226"/>
        <v>3.48E-3</v>
      </c>
      <c r="BM142" s="472">
        <f t="shared" si="227"/>
        <v>81.84704789615526</v>
      </c>
      <c r="BN142" s="546">
        <f t="shared" si="228"/>
        <v>0.128</v>
      </c>
      <c r="BQ142" s="472">
        <f t="shared" si="229"/>
        <v>128</v>
      </c>
      <c r="BR142" s="546">
        <f t="shared" si="230"/>
        <v>1.0710669309644129E-2</v>
      </c>
      <c r="BS142" s="546">
        <f t="shared" si="231"/>
        <v>1.9486509528354855E-2</v>
      </c>
      <c r="BT142" s="546">
        <f t="shared" si="232"/>
        <v>2.7907651809496257E-2</v>
      </c>
      <c r="BU142" s="546"/>
      <c r="BV142" s="546">
        <f t="shared" si="233"/>
        <v>1.1306666666666666E-2</v>
      </c>
      <c r="BW142" s="472">
        <f t="shared" si="234"/>
        <v>69.411497314161906</v>
      </c>
      <c r="BX142" s="179">
        <f t="shared" si="235"/>
        <v>0.27925854521031718</v>
      </c>
      <c r="BY142" s="6">
        <f t="shared" si="236"/>
        <v>1.6</v>
      </c>
      <c r="BZ142" s="179">
        <f t="shared" si="237"/>
        <v>0.8513996140009229</v>
      </c>
      <c r="CA142" s="6">
        <f t="shared" si="238"/>
        <v>85.13996140009229</v>
      </c>
      <c r="CD142" s="581">
        <f t="shared" ref="CD142:CD173" si="280">IF(ABS(F142-Ioutmax_Vinmin)&lt;Iout/200, AN142, -50)</f>
        <v>-50</v>
      </c>
      <c r="CE142">
        <f t="shared" ref="CE142:CE173" si="281">IF(ABS(F142-Ioutmax_Vinmin)&lt;Iout/200, N142*BZ142, -50)</f>
        <v>-50</v>
      </c>
    </row>
    <row r="143" spans="5:83" x14ac:dyDescent="0.2">
      <c r="E143" s="176">
        <v>33</v>
      </c>
      <c r="F143" s="223">
        <f t="shared" ref="F143:F174" si="282">IF(PLOT_TYPE=1, E143/100*Iout_max, min_I*EXP(N143*rr/100))</f>
        <v>0.33</v>
      </c>
      <c r="G143" s="223"/>
      <c r="H143" s="223">
        <f t="shared" si="252"/>
        <v>1.6500000000000001</v>
      </c>
      <c r="I143" s="559">
        <f t="shared" si="253"/>
        <v>12</v>
      </c>
      <c r="J143" s="454">
        <f t="shared" si="254"/>
        <v>15.899999999999999</v>
      </c>
      <c r="K143" s="454">
        <f t="shared" si="255"/>
        <v>27.9</v>
      </c>
      <c r="L143" s="454"/>
      <c r="M143" s="223">
        <f t="shared" si="256"/>
        <v>0.56989247311827951</v>
      </c>
      <c r="N143" s="178">
        <f t="shared" si="257"/>
        <v>4.6161290322580646</v>
      </c>
      <c r="O143" s="178">
        <f t="shared" si="248"/>
        <v>1.6500000000000001</v>
      </c>
      <c r="P143" s="223">
        <f t="shared" si="258"/>
        <v>0.9232258064516129</v>
      </c>
      <c r="Q143" s="223">
        <f t="shared" si="259"/>
        <v>5</v>
      </c>
      <c r="R143" s="223"/>
      <c r="S143" s="178">
        <f t="shared" si="260"/>
        <v>20.602862949408799</v>
      </c>
      <c r="T143" s="178">
        <f t="shared" si="261"/>
        <v>5</v>
      </c>
      <c r="U143" s="223">
        <f t="shared" si="262"/>
        <v>0.53616352201257866</v>
      </c>
      <c r="V143" s="223">
        <f t="shared" si="263"/>
        <v>1.3404088050314467</v>
      </c>
      <c r="W143" s="223">
        <f t="shared" si="264"/>
        <v>1.0116292868161862</v>
      </c>
      <c r="X143" s="203">
        <f t="shared" si="265"/>
        <v>350</v>
      </c>
      <c r="Y143" s="454">
        <f t="shared" si="203"/>
        <v>350</v>
      </c>
      <c r="AA143" s="223">
        <f t="shared" si="266"/>
        <v>0.65130568356374818</v>
      </c>
      <c r="AB143" s="179">
        <f t="shared" si="267"/>
        <v>1.2288786482334872</v>
      </c>
      <c r="AC143" s="179">
        <f t="shared" si="268"/>
        <v>0.42019721520241832</v>
      </c>
      <c r="AD143" s="179"/>
      <c r="AE143" s="179">
        <f t="shared" si="269"/>
        <v>0.5660377358490567</v>
      </c>
      <c r="AF143" s="563">
        <f t="shared" si="270"/>
        <v>1295.5555555555552</v>
      </c>
      <c r="AG143" s="546">
        <f t="shared" si="271"/>
        <v>8.9150943396226423E-2</v>
      </c>
      <c r="AI143" s="179">
        <f t="shared" si="272"/>
        <v>0.57718528839780481</v>
      </c>
      <c r="AJ143" s="179">
        <f t="shared" si="273"/>
        <v>0.57718528839780481</v>
      </c>
      <c r="AK143" s="179">
        <f t="shared" si="274"/>
        <v>1.4053224358502256</v>
      </c>
      <c r="AM143" s="563">
        <f t="shared" si="275"/>
        <v>330</v>
      </c>
      <c r="AN143" s="472">
        <f t="shared" si="276"/>
        <v>350</v>
      </c>
      <c r="AP143" s="472">
        <f t="shared" si="277"/>
        <v>330</v>
      </c>
      <c r="AQ143" s="472">
        <f t="shared" si="278"/>
        <v>350</v>
      </c>
      <c r="AS143" s="6">
        <f t="shared" si="249"/>
        <v>2.8571428571428572</v>
      </c>
      <c r="AT143" s="6">
        <f t="shared" si="279"/>
        <v>1.442963220994512</v>
      </c>
      <c r="AU143" s="6">
        <f t="shared" si="218"/>
        <v>1.4141796361483452</v>
      </c>
      <c r="AV143" s="6"/>
      <c r="AW143" s="179">
        <f t="shared" si="219"/>
        <v>0.50503712734807915</v>
      </c>
      <c r="AX143" s="179">
        <f t="shared" si="245"/>
        <v>1.7489999999999999</v>
      </c>
      <c r="AY143" s="179">
        <f t="shared" si="246"/>
        <v>0.42852793259670729</v>
      </c>
      <c r="AZ143" s="179">
        <f t="shared" si="250"/>
        <v>4.0814142252099224</v>
      </c>
      <c r="BA143" s="472">
        <f t="shared" si="243"/>
        <v>9.5235572585637804</v>
      </c>
      <c r="BB143" s="6">
        <f t="shared" si="244"/>
        <v>0.18004601849110877</v>
      </c>
      <c r="BD143" s="179">
        <f t="shared" si="251"/>
        <v>0.23681885592716925</v>
      </c>
      <c r="BE143" s="179">
        <f t="shared" si="247"/>
        <v>0.70333493921793133</v>
      </c>
      <c r="BG143" s="546">
        <f t="shared" si="222"/>
        <v>1.9629109682928671E-2</v>
      </c>
      <c r="BH143" s="546">
        <f t="shared" si="223"/>
        <v>4.2271607559034224E-2</v>
      </c>
      <c r="BI143" s="546">
        <f t="shared" si="224"/>
        <v>4.3749999999999995E-3</v>
      </c>
      <c r="BJ143" s="546">
        <f t="shared" si="225"/>
        <v>1.3622175E-2</v>
      </c>
      <c r="BK143">
        <f t="shared" si="226"/>
        <v>3.48E-3</v>
      </c>
      <c r="BM143" s="472">
        <f t="shared" si="227"/>
        <v>83.377892241962883</v>
      </c>
      <c r="BN143" s="546">
        <f t="shared" si="228"/>
        <v>0.13200000000000001</v>
      </c>
      <c r="BQ143" s="472">
        <f t="shared" si="229"/>
        <v>132</v>
      </c>
      <c r="BR143" s="546">
        <f t="shared" si="230"/>
        <v>1.121663410453067E-2</v>
      </c>
      <c r="BS143" s="546">
        <f t="shared" si="231"/>
        <v>1.9787201468987648E-2</v>
      </c>
      <c r="BT143" s="546">
        <f t="shared" si="232"/>
        <v>2.9002020006688025E-2</v>
      </c>
      <c r="BU143" s="546"/>
      <c r="BV143" s="546">
        <f t="shared" si="233"/>
        <v>1.166E-2</v>
      </c>
      <c r="BW143" s="472">
        <f t="shared" si="234"/>
        <v>71.66585558020634</v>
      </c>
      <c r="BX143" s="179">
        <f t="shared" si="235"/>
        <v>0.28704374782216924</v>
      </c>
      <c r="BY143" s="6">
        <f t="shared" si="236"/>
        <v>1.6500000000000001</v>
      </c>
      <c r="BZ143" s="179">
        <f t="shared" si="237"/>
        <v>0.85181349252184191</v>
      </c>
      <c r="CA143" s="6">
        <f t="shared" si="238"/>
        <v>85.181349252184191</v>
      </c>
      <c r="CD143" s="581">
        <f t="shared" si="280"/>
        <v>-50</v>
      </c>
      <c r="CE143">
        <f t="shared" si="281"/>
        <v>-50</v>
      </c>
    </row>
    <row r="144" spans="5:83" x14ac:dyDescent="0.2">
      <c r="E144" s="176">
        <v>34</v>
      </c>
      <c r="F144" s="223">
        <f t="shared" si="282"/>
        <v>0.34</v>
      </c>
      <c r="G144" s="223"/>
      <c r="H144" s="223">
        <f t="shared" si="252"/>
        <v>1.7000000000000002</v>
      </c>
      <c r="I144" s="559">
        <f t="shared" si="253"/>
        <v>12</v>
      </c>
      <c r="J144" s="454">
        <f t="shared" si="254"/>
        <v>15.899999999999999</v>
      </c>
      <c r="K144" s="454">
        <f t="shared" si="255"/>
        <v>27.9</v>
      </c>
      <c r="L144" s="454"/>
      <c r="M144" s="223">
        <f t="shared" si="256"/>
        <v>0.56989247311827951</v>
      </c>
      <c r="N144" s="178">
        <f t="shared" si="257"/>
        <v>4.6161290322580646</v>
      </c>
      <c r="O144" s="178">
        <f t="shared" si="248"/>
        <v>1.7000000000000002</v>
      </c>
      <c r="P144" s="223">
        <f t="shared" si="258"/>
        <v>0.9232258064516129</v>
      </c>
      <c r="Q144" s="223">
        <f t="shared" si="259"/>
        <v>5</v>
      </c>
      <c r="R144" s="223"/>
      <c r="S144" s="178">
        <f t="shared" si="260"/>
        <v>19.882985432481483</v>
      </c>
      <c r="T144" s="178">
        <f t="shared" si="261"/>
        <v>5</v>
      </c>
      <c r="U144" s="223">
        <f t="shared" si="262"/>
        <v>0.55241090146750538</v>
      </c>
      <c r="V144" s="223">
        <f t="shared" si="263"/>
        <v>1.3810272536687636</v>
      </c>
      <c r="W144" s="223">
        <f t="shared" si="264"/>
        <v>1.0422847197500102</v>
      </c>
      <c r="X144" s="203">
        <f t="shared" si="265"/>
        <v>350</v>
      </c>
      <c r="Y144" s="454">
        <f t="shared" si="203"/>
        <v>350</v>
      </c>
      <c r="AA144" s="223">
        <f t="shared" si="266"/>
        <v>0.65130568356374818</v>
      </c>
      <c r="AB144" s="179">
        <f t="shared" si="267"/>
        <v>1.2288786482334872</v>
      </c>
      <c r="AC144" s="179">
        <f t="shared" si="268"/>
        <v>0.42019721520241832</v>
      </c>
      <c r="AD144" s="179"/>
      <c r="AE144" s="179">
        <f t="shared" si="269"/>
        <v>0.5660377358490567</v>
      </c>
      <c r="AF144" s="563">
        <f t="shared" si="270"/>
        <v>1334.8148148148146</v>
      </c>
      <c r="AG144" s="546">
        <f t="shared" si="271"/>
        <v>8.9150943396226423E-2</v>
      </c>
      <c r="AI144" s="179">
        <f t="shared" si="272"/>
        <v>0.58586525348248397</v>
      </c>
      <c r="AJ144" s="179">
        <f t="shared" si="273"/>
        <v>0.58586525348248397</v>
      </c>
      <c r="AK144" s="179">
        <f t="shared" si="274"/>
        <v>1.4117520396166547</v>
      </c>
      <c r="AM144" s="563">
        <f t="shared" si="275"/>
        <v>340</v>
      </c>
      <c r="AN144" s="472">
        <f t="shared" si="276"/>
        <v>350</v>
      </c>
      <c r="AP144" s="472">
        <f t="shared" si="277"/>
        <v>340</v>
      </c>
      <c r="AQ144" s="472">
        <f t="shared" si="278"/>
        <v>350</v>
      </c>
      <c r="AS144" s="6">
        <f t="shared" si="249"/>
        <v>2.8571428571428572</v>
      </c>
      <c r="AT144" s="6">
        <f t="shared" si="279"/>
        <v>1.4646631337062099</v>
      </c>
      <c r="AU144" s="6">
        <f t="shared" si="218"/>
        <v>1.3924797234366473</v>
      </c>
      <c r="AV144" s="6"/>
      <c r="AW144" s="179">
        <f t="shared" si="219"/>
        <v>0.51263209679717348</v>
      </c>
      <c r="AX144" s="179">
        <f t="shared" si="245"/>
        <v>1.8019999999999998</v>
      </c>
      <c r="AY144" s="179">
        <f t="shared" si="246"/>
        <v>0.428297880223726</v>
      </c>
      <c r="AZ144" s="179">
        <f t="shared" si="250"/>
        <v>4.207352133189886</v>
      </c>
      <c r="BA144" s="472">
        <f t="shared" si="243"/>
        <v>9.9597093092022284</v>
      </c>
      <c r="BB144" s="6">
        <f t="shared" si="244"/>
        <v>0.18265551927795526</v>
      </c>
      <c r="BD144" s="179">
        <f t="shared" si="251"/>
        <v>0.24218096846681456</v>
      </c>
      <c r="BE144" s="179">
        <f t="shared" si="247"/>
        <v>0.70841350377203249</v>
      </c>
      <c r="BG144" s="546">
        <f t="shared" si="222"/>
        <v>2.0528067520633478E-2</v>
      </c>
      <c r="BH144" s="546">
        <f t="shared" si="223"/>
        <v>4.2907306501923412E-2</v>
      </c>
      <c r="BI144" s="546">
        <f t="shared" si="224"/>
        <v>4.3749999999999995E-3</v>
      </c>
      <c r="BJ144" s="546">
        <f t="shared" si="225"/>
        <v>1.3622175E-2</v>
      </c>
      <c r="BK144">
        <f t="shared" si="226"/>
        <v>3.48E-3</v>
      </c>
      <c r="BM144" s="472">
        <f t="shared" si="227"/>
        <v>84.912549022556888</v>
      </c>
      <c r="BN144" s="546">
        <f t="shared" si="228"/>
        <v>0.13600000000000001</v>
      </c>
      <c r="BQ144" s="472">
        <f t="shared" si="229"/>
        <v>136</v>
      </c>
      <c r="BR144" s="546">
        <f t="shared" si="230"/>
        <v>1.1730324297504846E-2</v>
      </c>
      <c r="BS144" s="546">
        <f t="shared" si="231"/>
        <v>2.0073987693062702E-2</v>
      </c>
      <c r="BT144" s="546">
        <f t="shared" si="232"/>
        <v>3.0104711474592219E-2</v>
      </c>
      <c r="BU144" s="546"/>
      <c r="BV144" s="546">
        <f t="shared" si="233"/>
        <v>1.2013333333333332E-2</v>
      </c>
      <c r="BW144" s="472">
        <f t="shared" si="234"/>
        <v>73.922356798493098</v>
      </c>
      <c r="BX144" s="179">
        <f t="shared" si="235"/>
        <v>0.29483490582104999</v>
      </c>
      <c r="BY144" s="6">
        <f t="shared" si="236"/>
        <v>1.7000000000000002</v>
      </c>
      <c r="BZ144" s="179">
        <f t="shared" si="237"/>
        <v>0.85220084882177283</v>
      </c>
      <c r="CA144" s="6">
        <f t="shared" si="238"/>
        <v>85.220084882177289</v>
      </c>
      <c r="CD144" s="581">
        <f t="shared" si="280"/>
        <v>-50</v>
      </c>
      <c r="CE144">
        <f t="shared" si="281"/>
        <v>-50</v>
      </c>
    </row>
    <row r="145" spans="5:83" x14ac:dyDescent="0.2">
      <c r="E145" s="176">
        <v>35</v>
      </c>
      <c r="F145" s="223">
        <f t="shared" si="282"/>
        <v>0.35</v>
      </c>
      <c r="G145" s="223"/>
      <c r="H145" s="223">
        <f t="shared" si="252"/>
        <v>1.75</v>
      </c>
      <c r="I145" s="559">
        <f t="shared" si="253"/>
        <v>12</v>
      </c>
      <c r="J145" s="454">
        <f t="shared" si="254"/>
        <v>15.899999999999999</v>
      </c>
      <c r="K145" s="454">
        <f t="shared" si="255"/>
        <v>27.9</v>
      </c>
      <c r="L145" s="454"/>
      <c r="M145" s="223">
        <f t="shared" si="256"/>
        <v>0.56989247311827951</v>
      </c>
      <c r="N145" s="178">
        <f t="shared" si="257"/>
        <v>4.6161290322580646</v>
      </c>
      <c r="O145" s="178">
        <f t="shared" si="248"/>
        <v>1.75</v>
      </c>
      <c r="P145" s="223">
        <f t="shared" si="258"/>
        <v>0.9232258064516129</v>
      </c>
      <c r="Q145" s="223">
        <f t="shared" si="259"/>
        <v>5</v>
      </c>
      <c r="R145" s="223"/>
      <c r="S145" s="178">
        <f t="shared" si="260"/>
        <v>19.204381779401498</v>
      </c>
      <c r="T145" s="178">
        <f t="shared" si="261"/>
        <v>5</v>
      </c>
      <c r="U145" s="223">
        <f t="shared" si="262"/>
        <v>0.56865828092243187</v>
      </c>
      <c r="V145" s="223">
        <f t="shared" si="263"/>
        <v>1.4216457023060796</v>
      </c>
      <c r="W145" s="223">
        <f t="shared" si="264"/>
        <v>1.0729401526838338</v>
      </c>
      <c r="X145" s="203">
        <f t="shared" si="265"/>
        <v>350</v>
      </c>
      <c r="Y145" s="454">
        <f t="shared" si="203"/>
        <v>350</v>
      </c>
      <c r="AA145" s="223">
        <f t="shared" si="266"/>
        <v>0.65130568356374818</v>
      </c>
      <c r="AB145" s="179">
        <f t="shared" si="267"/>
        <v>1.2288786482334872</v>
      </c>
      <c r="AC145" s="179">
        <f t="shared" si="268"/>
        <v>0.42019721520241832</v>
      </c>
      <c r="AD145" s="179"/>
      <c r="AE145" s="179">
        <f t="shared" si="269"/>
        <v>0.5660377358490567</v>
      </c>
      <c r="AF145" s="563">
        <f t="shared" si="270"/>
        <v>1374.0740740740737</v>
      </c>
      <c r="AG145" s="546">
        <f t="shared" si="271"/>
        <v>8.9150943396226423E-2</v>
      </c>
      <c r="AI145" s="179">
        <f t="shared" si="272"/>
        <v>0.59441848333756686</v>
      </c>
      <c r="AJ145" s="179">
        <f t="shared" si="273"/>
        <v>0.59441848333756686</v>
      </c>
      <c r="AK145" s="179">
        <f t="shared" si="274"/>
        <v>1.4180877654352346</v>
      </c>
      <c r="AM145" s="563">
        <f t="shared" si="275"/>
        <v>350</v>
      </c>
      <c r="AN145" s="472">
        <f t="shared" si="276"/>
        <v>350</v>
      </c>
      <c r="AP145" s="472">
        <f t="shared" si="277"/>
        <v>350</v>
      </c>
      <c r="AQ145" s="472">
        <f t="shared" si="278"/>
        <v>350</v>
      </c>
      <c r="AS145" s="6">
        <f t="shared" si="249"/>
        <v>2.8571428571428572</v>
      </c>
      <c r="AT145" s="6">
        <f t="shared" si="279"/>
        <v>1.4860462083439172</v>
      </c>
      <c r="AU145" s="6">
        <f t="shared" si="218"/>
        <v>1.37109664879894</v>
      </c>
      <c r="AV145" s="6"/>
      <c r="AW145" s="179">
        <f t="shared" si="219"/>
        <v>0.52011617292037104</v>
      </c>
      <c r="AX145" s="179">
        <f t="shared" si="245"/>
        <v>1.8549999999999998</v>
      </c>
      <c r="AY145" s="179">
        <f t="shared" si="246"/>
        <v>0.42787772500635035</v>
      </c>
      <c r="AZ145" s="179">
        <f t="shared" si="250"/>
        <v>4.335350712572076</v>
      </c>
      <c r="BA145" s="472">
        <f t="shared" si="243"/>
        <v>10.402323458407421</v>
      </c>
      <c r="BB145" s="6">
        <f t="shared" si="244"/>
        <v>0.18514036538565931</v>
      </c>
      <c r="BD145" s="179">
        <f t="shared" si="251"/>
        <v>0.24750379195649444</v>
      </c>
      <c r="BE145" s="179">
        <f t="shared" si="247"/>
        <v>0.713215855617643</v>
      </c>
      <c r="BG145" s="546">
        <f t="shared" si="222"/>
        <v>2.1440344461495286E-2</v>
      </c>
      <c r="BH145" s="546">
        <f t="shared" si="223"/>
        <v>4.3533723673435047E-2</v>
      </c>
      <c r="BI145" s="546">
        <f t="shared" si="224"/>
        <v>4.3749999999999995E-3</v>
      </c>
      <c r="BJ145" s="546">
        <f t="shared" si="225"/>
        <v>1.3622175E-2</v>
      </c>
      <c r="BK145">
        <f t="shared" si="226"/>
        <v>3.48E-3</v>
      </c>
      <c r="BM145" s="472">
        <f t="shared" si="227"/>
        <v>86.451243134930337</v>
      </c>
      <c r="BN145" s="546">
        <f t="shared" si="228"/>
        <v>0.13999999999999999</v>
      </c>
      <c r="BQ145" s="472">
        <f t="shared" si="229"/>
        <v>139.99999999999997</v>
      </c>
      <c r="BR145" s="546">
        <f t="shared" si="230"/>
        <v>1.2251625406568737E-2</v>
      </c>
      <c r="BS145" s="546">
        <f t="shared" si="231"/>
        <v>2.0347074268176262E-2</v>
      </c>
      <c r="BT145" s="546">
        <f t="shared" si="232"/>
        <v>3.1215541880829235E-2</v>
      </c>
      <c r="BU145" s="546"/>
      <c r="BV145" s="546">
        <f t="shared" si="233"/>
        <v>1.2366666666666666E-2</v>
      </c>
      <c r="BW145" s="472">
        <f t="shared" si="234"/>
        <v>76.180908222240902</v>
      </c>
      <c r="BX145" s="179">
        <f t="shared" si="235"/>
        <v>0.30263215135717125</v>
      </c>
      <c r="BY145" s="6">
        <f t="shared" si="236"/>
        <v>1.75</v>
      </c>
      <c r="BZ145" s="179">
        <f t="shared" si="237"/>
        <v>0.85256386481275992</v>
      </c>
      <c r="CA145" s="6">
        <f t="shared" si="238"/>
        <v>85.256386481275996</v>
      </c>
      <c r="CD145" s="581">
        <f t="shared" si="280"/>
        <v>-50</v>
      </c>
      <c r="CE145">
        <f t="shared" si="281"/>
        <v>-50</v>
      </c>
    </row>
    <row r="146" spans="5:83" x14ac:dyDescent="0.2">
      <c r="E146" s="176">
        <v>36</v>
      </c>
      <c r="F146" s="223">
        <f t="shared" si="282"/>
        <v>0.36</v>
      </c>
      <c r="G146" s="223"/>
      <c r="H146" s="223">
        <f t="shared" si="252"/>
        <v>1.7999999999999998</v>
      </c>
      <c r="I146" s="559">
        <f t="shared" si="253"/>
        <v>12</v>
      </c>
      <c r="J146" s="454">
        <f t="shared" si="254"/>
        <v>15.899999999999999</v>
      </c>
      <c r="K146" s="454">
        <f t="shared" si="255"/>
        <v>27.9</v>
      </c>
      <c r="L146" s="454"/>
      <c r="M146" s="223">
        <f t="shared" si="256"/>
        <v>0.56989247311827951</v>
      </c>
      <c r="N146" s="178">
        <f t="shared" si="257"/>
        <v>4.6161290322580646</v>
      </c>
      <c r="O146" s="178">
        <f t="shared" si="248"/>
        <v>1.7999999999999998</v>
      </c>
      <c r="P146" s="223">
        <f t="shared" si="258"/>
        <v>0.9232258064516129</v>
      </c>
      <c r="Q146" s="223">
        <f t="shared" si="259"/>
        <v>5</v>
      </c>
      <c r="R146" s="223"/>
      <c r="S146" s="178">
        <f t="shared" si="260"/>
        <v>18.563614531456786</v>
      </c>
      <c r="T146" s="178">
        <f t="shared" si="261"/>
        <v>5</v>
      </c>
      <c r="U146" s="223">
        <f t="shared" si="262"/>
        <v>0.58490566037735847</v>
      </c>
      <c r="V146" s="223">
        <f t="shared" si="263"/>
        <v>1.462264150943396</v>
      </c>
      <c r="W146" s="223">
        <f t="shared" si="264"/>
        <v>1.1035955856176576</v>
      </c>
      <c r="X146" s="203">
        <f t="shared" si="265"/>
        <v>350</v>
      </c>
      <c r="Y146" s="454">
        <f t="shared" si="203"/>
        <v>350</v>
      </c>
      <c r="AA146" s="223">
        <f t="shared" si="266"/>
        <v>0.65130568356374818</v>
      </c>
      <c r="AB146" s="179">
        <f t="shared" si="267"/>
        <v>1.2288786482334872</v>
      </c>
      <c r="AC146" s="179">
        <f t="shared" si="268"/>
        <v>0.42019721520241832</v>
      </c>
      <c r="AD146" s="179"/>
      <c r="AE146" s="179">
        <f t="shared" si="269"/>
        <v>0.5660377358490567</v>
      </c>
      <c r="AF146" s="563">
        <f t="shared" si="270"/>
        <v>1413.333333333333</v>
      </c>
      <c r="AG146" s="546">
        <f t="shared" si="271"/>
        <v>8.9150943396226423E-2</v>
      </c>
      <c r="AI146" s="179">
        <f t="shared" si="272"/>
        <v>0.60285037233841976</v>
      </c>
      <c r="AJ146" s="179">
        <f t="shared" si="273"/>
        <v>0.60285037233841976</v>
      </c>
      <c r="AK146" s="179">
        <f t="shared" si="274"/>
        <v>1.4243336091395702</v>
      </c>
      <c r="AM146" s="563">
        <f t="shared" si="275"/>
        <v>360</v>
      </c>
      <c r="AN146" s="472">
        <f t="shared" si="276"/>
        <v>350</v>
      </c>
      <c r="AP146" s="472">
        <f t="shared" si="277"/>
        <v>360</v>
      </c>
      <c r="AQ146" s="472">
        <f t="shared" si="278"/>
        <v>350</v>
      </c>
      <c r="AS146" s="6">
        <f t="shared" si="249"/>
        <v>2.8571428571428572</v>
      </c>
      <c r="AT146" s="6">
        <f t="shared" si="279"/>
        <v>1.5071259308460496</v>
      </c>
      <c r="AU146" s="6">
        <f t="shared" si="218"/>
        <v>1.3500169262968076</v>
      </c>
      <c r="AV146" s="6"/>
      <c r="AW146" s="179">
        <f t="shared" si="219"/>
        <v>0.5274940757961174</v>
      </c>
      <c r="AX146" s="179">
        <f t="shared" si="245"/>
        <v>1.9079999999999995</v>
      </c>
      <c r="AY146" s="179">
        <f t="shared" si="246"/>
        <v>0.42727555850762966</v>
      </c>
      <c r="AZ146" s="179">
        <f t="shared" si="250"/>
        <v>4.4655023251603314</v>
      </c>
      <c r="BA146" s="472">
        <f t="shared" si="243"/>
        <v>10.851306702091556</v>
      </c>
      <c r="BB146" s="6">
        <f t="shared" si="244"/>
        <v>0.18750235087455658</v>
      </c>
      <c r="BD146" s="179">
        <f t="shared" si="251"/>
        <v>0.25278872496191851</v>
      </c>
      <c r="BE146" s="179">
        <f t="shared" si="247"/>
        <v>0.71775097288325673</v>
      </c>
      <c r="BG146" s="546">
        <f t="shared" si="222"/>
        <v>2.236574881375537E-2</v>
      </c>
      <c r="BH146" s="546">
        <f t="shared" si="223"/>
        <v>4.415125414413501E-2</v>
      </c>
      <c r="BI146" s="546">
        <f t="shared" si="224"/>
        <v>4.3749999999999995E-3</v>
      </c>
      <c r="BJ146" s="546">
        <f t="shared" si="225"/>
        <v>1.3622175E-2</v>
      </c>
      <c r="BK146">
        <f t="shared" si="226"/>
        <v>3.48E-3</v>
      </c>
      <c r="BM146" s="472">
        <f t="shared" si="227"/>
        <v>87.994177957890386</v>
      </c>
      <c r="BN146" s="546">
        <f t="shared" si="228"/>
        <v>0.14399999999999999</v>
      </c>
      <c r="BQ146" s="472">
        <f t="shared" si="229"/>
        <v>144</v>
      </c>
      <c r="BR146" s="546">
        <f t="shared" si="230"/>
        <v>1.2780427893574498E-2</v>
      </c>
      <c r="BS146" s="546">
        <f t="shared" si="231"/>
        <v>2.0606658362994464E-2</v>
      </c>
      <c r="BT146" s="546">
        <f t="shared" si="232"/>
        <v>3.2334336146700227E-2</v>
      </c>
      <c r="BU146" s="546"/>
      <c r="BV146" s="546">
        <f t="shared" si="233"/>
        <v>1.2719999999999999E-2</v>
      </c>
      <c r="BW146" s="472">
        <f t="shared" si="234"/>
        <v>78.441422403269186</v>
      </c>
      <c r="BX146" s="179">
        <f t="shared" si="235"/>
        <v>0.31043560036115958</v>
      </c>
      <c r="BY146" s="6">
        <f t="shared" si="236"/>
        <v>1.7999999999999998</v>
      </c>
      <c r="BZ146" s="179">
        <f t="shared" si="237"/>
        <v>0.85290449028246373</v>
      </c>
      <c r="CA146" s="6">
        <f t="shared" si="238"/>
        <v>85.290449028246371</v>
      </c>
      <c r="CD146" s="581">
        <f t="shared" si="280"/>
        <v>-50</v>
      </c>
      <c r="CE146">
        <f t="shared" si="281"/>
        <v>-50</v>
      </c>
    </row>
    <row r="147" spans="5:83" x14ac:dyDescent="0.2">
      <c r="E147" s="176">
        <v>37</v>
      </c>
      <c r="F147" s="223">
        <f t="shared" si="282"/>
        <v>0.37</v>
      </c>
      <c r="G147" s="223"/>
      <c r="H147" s="223">
        <f t="shared" si="252"/>
        <v>1.85</v>
      </c>
      <c r="I147" s="559">
        <f t="shared" si="253"/>
        <v>12</v>
      </c>
      <c r="J147" s="454">
        <f t="shared" si="254"/>
        <v>15.899999999999999</v>
      </c>
      <c r="K147" s="454">
        <f t="shared" si="255"/>
        <v>27.9</v>
      </c>
      <c r="L147" s="454"/>
      <c r="M147" s="223">
        <f t="shared" si="256"/>
        <v>0.56989247311827951</v>
      </c>
      <c r="N147" s="178">
        <f t="shared" si="257"/>
        <v>4.6161290322580646</v>
      </c>
      <c r="O147" s="178">
        <f t="shared" si="248"/>
        <v>1.85</v>
      </c>
      <c r="P147" s="223">
        <f t="shared" si="258"/>
        <v>0.9232258064516129</v>
      </c>
      <c r="Q147" s="223">
        <f t="shared" si="259"/>
        <v>5</v>
      </c>
      <c r="R147" s="223"/>
      <c r="S147" s="178">
        <f t="shared" si="260"/>
        <v>17.957617881328183</v>
      </c>
      <c r="T147" s="178">
        <f t="shared" si="261"/>
        <v>5</v>
      </c>
      <c r="U147" s="223">
        <f t="shared" si="262"/>
        <v>0.60115303983228519</v>
      </c>
      <c r="V147" s="223">
        <f t="shared" si="263"/>
        <v>1.5028825995807129</v>
      </c>
      <c r="W147" s="223">
        <f t="shared" si="264"/>
        <v>1.1342510185514816</v>
      </c>
      <c r="X147" s="203">
        <f t="shared" si="265"/>
        <v>350</v>
      </c>
      <c r="Y147" s="454">
        <f t="shared" si="203"/>
        <v>350</v>
      </c>
      <c r="AA147" s="223">
        <f t="shared" si="266"/>
        <v>0.65130568356374818</v>
      </c>
      <c r="AB147" s="179">
        <f t="shared" si="267"/>
        <v>1.2288786482334872</v>
      </c>
      <c r="AC147" s="179">
        <f t="shared" si="268"/>
        <v>0.42019721520241832</v>
      </c>
      <c r="AD147" s="179"/>
      <c r="AE147" s="179">
        <f t="shared" si="269"/>
        <v>0.5660377358490567</v>
      </c>
      <c r="AF147" s="563">
        <f t="shared" si="270"/>
        <v>1452.5925925925924</v>
      </c>
      <c r="AG147" s="546">
        <f t="shared" si="271"/>
        <v>8.9150943396226423E-2</v>
      </c>
      <c r="AI147" s="179">
        <f t="shared" si="272"/>
        <v>0.61116594270607838</v>
      </c>
      <c r="AJ147" s="179">
        <f t="shared" si="273"/>
        <v>0.61116594270607838</v>
      </c>
      <c r="AK147" s="179">
        <f t="shared" si="274"/>
        <v>1.4304932908933914</v>
      </c>
      <c r="AM147" s="563">
        <f t="shared" si="275"/>
        <v>370</v>
      </c>
      <c r="AN147" s="472">
        <f t="shared" si="276"/>
        <v>350</v>
      </c>
      <c r="AP147" s="472">
        <f t="shared" si="277"/>
        <v>370</v>
      </c>
      <c r="AQ147" s="472">
        <f t="shared" si="278"/>
        <v>350</v>
      </c>
      <c r="AS147" s="6">
        <f t="shared" si="249"/>
        <v>2.8571428571428572</v>
      </c>
      <c r="AT147" s="6">
        <f t="shared" si="279"/>
        <v>1.5279148567651959</v>
      </c>
      <c r="AU147" s="6">
        <f t="shared" si="218"/>
        <v>1.3292280003776613</v>
      </c>
      <c r="AV147" s="6"/>
      <c r="AW147" s="179">
        <f t="shared" si="219"/>
        <v>0.5347701998678186</v>
      </c>
      <c r="AX147" s="179">
        <f t="shared" si="245"/>
        <v>1.9609999999999996</v>
      </c>
      <c r="AY147" s="179">
        <f t="shared" si="246"/>
        <v>0.42649891405911766</v>
      </c>
      <c r="AZ147" s="179">
        <f t="shared" si="250"/>
        <v>4.5979015077355685</v>
      </c>
      <c r="BA147" s="472">
        <f t="shared" si="243"/>
        <v>11.306569940062451</v>
      </c>
      <c r="BB147" s="6">
        <f t="shared" si="244"/>
        <v>0.18974319449835442</v>
      </c>
      <c r="BD147" s="179">
        <f t="shared" si="251"/>
        <v>0.25803707890820432</v>
      </c>
      <c r="BE147" s="179">
        <f t="shared" si="247"/>
        <v>0.72202716136452838</v>
      </c>
      <c r="BG147" s="546">
        <f t="shared" si="222"/>
        <v>2.3304096932017602E-2</v>
      </c>
      <c r="BH147" s="546">
        <f t="shared" si="223"/>
        <v>4.4760265728936412E-2</v>
      </c>
      <c r="BI147" s="546">
        <f t="shared" si="224"/>
        <v>4.3749999999999995E-3</v>
      </c>
      <c r="BJ147" s="546">
        <f t="shared" si="225"/>
        <v>1.3622175E-2</v>
      </c>
      <c r="BK147">
        <f t="shared" si="226"/>
        <v>3.48E-3</v>
      </c>
      <c r="BM147" s="472">
        <f t="shared" si="227"/>
        <v>89.54153766095402</v>
      </c>
      <c r="BN147" s="546">
        <f t="shared" si="228"/>
        <v>0.14799999999999999</v>
      </c>
      <c r="BQ147" s="472">
        <f t="shared" si="229"/>
        <v>148</v>
      </c>
      <c r="BR147" s="546">
        <f t="shared" si="230"/>
        <v>1.3316626818295775E-2</v>
      </c>
      <c r="BS147" s="546">
        <f t="shared" si="231"/>
        <v>2.085292886992475E-2</v>
      </c>
      <c r="BT147" s="546">
        <f t="shared" si="232"/>
        <v>3.3460927737442005E-2</v>
      </c>
      <c r="BU147" s="546"/>
      <c r="BV147" s="546">
        <f t="shared" si="233"/>
        <v>1.3073333333333334E-2</v>
      </c>
      <c r="BW147" s="472">
        <f t="shared" si="234"/>
        <v>80.70381675899587</v>
      </c>
      <c r="BX147" s="179">
        <f t="shared" si="235"/>
        <v>0.31824535441994989</v>
      </c>
      <c r="BY147" s="6">
        <f t="shared" si="236"/>
        <v>1.85</v>
      </c>
      <c r="BZ147" s="179">
        <f t="shared" si="237"/>
        <v>0.85322447306472515</v>
      </c>
      <c r="CA147" s="6">
        <f t="shared" si="238"/>
        <v>85.322447306472512</v>
      </c>
      <c r="CD147" s="581">
        <f t="shared" si="280"/>
        <v>-50</v>
      </c>
      <c r="CE147">
        <f t="shared" si="281"/>
        <v>-50</v>
      </c>
    </row>
    <row r="148" spans="5:83" x14ac:dyDescent="0.2">
      <c r="E148" s="176">
        <v>38</v>
      </c>
      <c r="F148" s="223">
        <f t="shared" si="282"/>
        <v>0.38</v>
      </c>
      <c r="G148" s="223"/>
      <c r="H148" s="223">
        <f t="shared" si="252"/>
        <v>1.9</v>
      </c>
      <c r="I148" s="559">
        <f t="shared" si="253"/>
        <v>12</v>
      </c>
      <c r="J148" s="454">
        <f t="shared" si="254"/>
        <v>15.899999999999999</v>
      </c>
      <c r="K148" s="454">
        <f t="shared" si="255"/>
        <v>27.9</v>
      </c>
      <c r="L148" s="454"/>
      <c r="M148" s="223">
        <f t="shared" si="256"/>
        <v>0.56989247311827951</v>
      </c>
      <c r="N148" s="178">
        <f t="shared" si="257"/>
        <v>4.6161290322580646</v>
      </c>
      <c r="O148" s="178">
        <f t="shared" si="248"/>
        <v>1.9</v>
      </c>
      <c r="P148" s="223">
        <f t="shared" si="258"/>
        <v>0.9232258064516129</v>
      </c>
      <c r="Q148" s="223">
        <f t="shared" si="259"/>
        <v>5</v>
      </c>
      <c r="R148" s="223"/>
      <c r="S148" s="178">
        <f t="shared" si="260"/>
        <v>17.383648772150366</v>
      </c>
      <c r="T148" s="178">
        <f t="shared" si="261"/>
        <v>5</v>
      </c>
      <c r="U148" s="223">
        <f t="shared" si="262"/>
        <v>0.61740041928721179</v>
      </c>
      <c r="V148" s="223">
        <f t="shared" si="263"/>
        <v>1.5435010482180296</v>
      </c>
      <c r="W148" s="223">
        <f t="shared" si="264"/>
        <v>1.1649064514853056</v>
      </c>
      <c r="X148" s="203">
        <f t="shared" si="265"/>
        <v>350</v>
      </c>
      <c r="Y148" s="454">
        <f t="shared" si="203"/>
        <v>350</v>
      </c>
      <c r="AA148" s="223">
        <f t="shared" si="266"/>
        <v>0.65130568356374818</v>
      </c>
      <c r="AB148" s="179">
        <f t="shared" si="267"/>
        <v>1.2288786482334872</v>
      </c>
      <c r="AC148" s="179">
        <f t="shared" si="268"/>
        <v>0.42019721520241832</v>
      </c>
      <c r="AD148" s="179"/>
      <c r="AE148" s="179">
        <f t="shared" si="269"/>
        <v>0.5660377358490567</v>
      </c>
      <c r="AF148" s="563">
        <f t="shared" si="270"/>
        <v>1491.8518518518517</v>
      </c>
      <c r="AG148" s="546">
        <f t="shared" si="271"/>
        <v>8.9150943396226423E-2</v>
      </c>
      <c r="AI148" s="179">
        <f t="shared" si="272"/>
        <v>0.61936987948966937</v>
      </c>
      <c r="AJ148" s="179">
        <f t="shared" si="273"/>
        <v>0.61936987948966937</v>
      </c>
      <c r="AK148" s="179">
        <f t="shared" si="274"/>
        <v>1.4365702811034589</v>
      </c>
      <c r="AM148" s="563">
        <f t="shared" si="275"/>
        <v>380</v>
      </c>
      <c r="AN148" s="472">
        <f t="shared" si="276"/>
        <v>350</v>
      </c>
      <c r="AP148" s="472">
        <f t="shared" si="277"/>
        <v>380</v>
      </c>
      <c r="AQ148" s="472">
        <f t="shared" si="278"/>
        <v>350</v>
      </c>
      <c r="AS148" s="6">
        <f t="shared" si="249"/>
        <v>2.8571428571428572</v>
      </c>
      <c r="AT148" s="6">
        <f t="shared" si="279"/>
        <v>1.5484246987241734</v>
      </c>
      <c r="AU148" s="6">
        <f t="shared" si="218"/>
        <v>1.3087181584186838</v>
      </c>
      <c r="AV148" s="6"/>
      <c r="AW148" s="179">
        <f t="shared" si="219"/>
        <v>0.5419486445534607</v>
      </c>
      <c r="AX148" s="179">
        <f t="shared" si="245"/>
        <v>2.0139999999999998</v>
      </c>
      <c r="AY148" s="179">
        <f t="shared" si="246"/>
        <v>0.42555481923450411</v>
      </c>
      <c r="AZ148" s="179">
        <f t="shared" si="250"/>
        <v>4.7326452644169796</v>
      </c>
      <c r="BA148" s="472">
        <f t="shared" si="243"/>
        <v>11.76802771030372</v>
      </c>
      <c r="BB148" s="6">
        <f t="shared" si="244"/>
        <v>0.19186454482989962</v>
      </c>
      <c r="BD148" s="179">
        <f t="shared" si="251"/>
        <v>0.26325008571194064</v>
      </c>
      <c r="BE148" s="179">
        <f t="shared" si="247"/>
        <v>0.72605211535470771</v>
      </c>
      <c r="BG148" s="546">
        <f t="shared" si="222"/>
        <v>2.4255212669570432E-2</v>
      </c>
      <c r="BH148" s="546">
        <f t="shared" si="223"/>
        <v>4.5361101549124656E-2</v>
      </c>
      <c r="BI148" s="546">
        <f t="shared" si="224"/>
        <v>4.3749999999999995E-3</v>
      </c>
      <c r="BJ148" s="546">
        <f t="shared" si="225"/>
        <v>1.3622175E-2</v>
      </c>
      <c r="BK148">
        <f t="shared" si="226"/>
        <v>3.48E-3</v>
      </c>
      <c r="BM148" s="472">
        <f t="shared" si="227"/>
        <v>91.093489218695083</v>
      </c>
      <c r="BN148" s="546">
        <f t="shared" si="228"/>
        <v>0.15200000000000002</v>
      </c>
      <c r="BQ148" s="472">
        <f t="shared" si="229"/>
        <v>152.00000000000003</v>
      </c>
      <c r="BR148" s="546">
        <f t="shared" si="230"/>
        <v>1.3860121525468819E-2</v>
      </c>
      <c r="BS148" s="546">
        <f t="shared" si="231"/>
        <v>2.1086066968441834E-2</v>
      </c>
      <c r="BT148" s="546">
        <f t="shared" si="232"/>
        <v>3.4595158024709326E-2</v>
      </c>
      <c r="BU148" s="546"/>
      <c r="BV148" s="546">
        <f t="shared" si="233"/>
        <v>1.3426666666666667E-2</v>
      </c>
      <c r="BW148" s="472">
        <f t="shared" si="234"/>
        <v>82.968013185286651</v>
      </c>
      <c r="BX148" s="179">
        <f t="shared" si="235"/>
        <v>0.32606150240398174</v>
      </c>
      <c r="BY148" s="6">
        <f t="shared" si="236"/>
        <v>1.9</v>
      </c>
      <c r="BZ148" s="179">
        <f t="shared" si="237"/>
        <v>0.85352538460781102</v>
      </c>
      <c r="CA148" s="6">
        <f t="shared" si="238"/>
        <v>85.352538460781105</v>
      </c>
      <c r="CD148" s="581">
        <f t="shared" si="280"/>
        <v>-50</v>
      </c>
      <c r="CE148">
        <f t="shared" si="281"/>
        <v>-50</v>
      </c>
    </row>
    <row r="149" spans="5:83" x14ac:dyDescent="0.2">
      <c r="E149" s="176">
        <v>39</v>
      </c>
      <c r="F149" s="223">
        <f t="shared" si="282"/>
        <v>0.39</v>
      </c>
      <c r="G149" s="223"/>
      <c r="H149" s="223">
        <f t="shared" si="252"/>
        <v>1.9500000000000002</v>
      </c>
      <c r="I149" s="559">
        <f t="shared" si="253"/>
        <v>12</v>
      </c>
      <c r="J149" s="454">
        <f t="shared" si="254"/>
        <v>15.899999999999999</v>
      </c>
      <c r="K149" s="454">
        <f t="shared" si="255"/>
        <v>27.9</v>
      </c>
      <c r="L149" s="454"/>
      <c r="M149" s="223">
        <f t="shared" si="256"/>
        <v>0.56989247311827951</v>
      </c>
      <c r="N149" s="178">
        <f t="shared" si="257"/>
        <v>4.6161290322580646</v>
      </c>
      <c r="O149" s="178">
        <f t="shared" si="248"/>
        <v>1.9500000000000002</v>
      </c>
      <c r="P149" s="223">
        <f t="shared" si="258"/>
        <v>0.9232258064516129</v>
      </c>
      <c r="Q149" s="223">
        <f t="shared" si="259"/>
        <v>5</v>
      </c>
      <c r="R149" s="223"/>
      <c r="S149" s="178">
        <f t="shared" si="260"/>
        <v>16.83924551979921</v>
      </c>
      <c r="T149" s="178">
        <f t="shared" si="261"/>
        <v>5</v>
      </c>
      <c r="U149" s="223">
        <f t="shared" si="262"/>
        <v>0.6336477987421385</v>
      </c>
      <c r="V149" s="223">
        <f t="shared" si="263"/>
        <v>1.5841194968553463</v>
      </c>
      <c r="W149" s="223">
        <f t="shared" si="264"/>
        <v>1.1955618844191294</v>
      </c>
      <c r="X149" s="203">
        <f t="shared" si="265"/>
        <v>350</v>
      </c>
      <c r="Y149" s="454">
        <f t="shared" si="203"/>
        <v>350</v>
      </c>
      <c r="AA149" s="223">
        <f t="shared" si="266"/>
        <v>0.65130568356374818</v>
      </c>
      <c r="AB149" s="179">
        <f t="shared" si="267"/>
        <v>1.2288786482334872</v>
      </c>
      <c r="AC149" s="179">
        <f t="shared" si="268"/>
        <v>0.42019721520241832</v>
      </c>
      <c r="AD149" s="179"/>
      <c r="AE149" s="179">
        <f t="shared" si="269"/>
        <v>0.5660377358490567</v>
      </c>
      <c r="AF149" s="563">
        <f t="shared" si="270"/>
        <v>1531.1111111111109</v>
      </c>
      <c r="AG149" s="546">
        <f t="shared" si="271"/>
        <v>8.9150943396226423E-2</v>
      </c>
      <c r="AI149" s="179">
        <f t="shared" si="272"/>
        <v>0.6274665614311935</v>
      </c>
      <c r="AJ149" s="179">
        <f t="shared" si="273"/>
        <v>0.6274665614311935</v>
      </c>
      <c r="AK149" s="179">
        <f t="shared" si="274"/>
        <v>1.4425678232823655</v>
      </c>
      <c r="AM149" s="563">
        <f t="shared" si="275"/>
        <v>390</v>
      </c>
      <c r="AN149" s="472">
        <f t="shared" si="276"/>
        <v>350</v>
      </c>
      <c r="AP149" s="472">
        <f t="shared" si="277"/>
        <v>390</v>
      </c>
      <c r="AQ149" s="472">
        <f t="shared" si="278"/>
        <v>350</v>
      </c>
      <c r="AS149" s="6">
        <f t="shared" si="249"/>
        <v>2.8571428571428572</v>
      </c>
      <c r="AT149" s="6">
        <f t="shared" si="279"/>
        <v>1.5686664035779838</v>
      </c>
      <c r="AU149" s="6">
        <f t="shared" si="218"/>
        <v>1.2884764535648734</v>
      </c>
      <c r="AV149" s="6"/>
      <c r="AW149" s="179">
        <f t="shared" si="219"/>
        <v>0.54903324125229436</v>
      </c>
      <c r="AX149" s="179">
        <f t="shared" si="245"/>
        <v>2.0670000000000002</v>
      </c>
      <c r="AY149" s="179">
        <f t="shared" si="246"/>
        <v>0.42444984214679016</v>
      </c>
      <c r="AZ149" s="179">
        <f t="shared" si="250"/>
        <v>4.8698333578014541</v>
      </c>
      <c r="BA149" s="472">
        <f t="shared" si="243"/>
        <v>12.235597947908273</v>
      </c>
      <c r="BB149" s="6">
        <f t="shared" si="244"/>
        <v>0.19386798491138141</v>
      </c>
      <c r="BD149" s="179">
        <f t="shared" si="251"/>
        <v>0.26842890456198776</v>
      </c>
      <c r="BE149" s="179">
        <f t="shared" si="247"/>
        <v>0.72983297123637714</v>
      </c>
      <c r="BG149" s="546">
        <f t="shared" si="222"/>
        <v>2.5218926881522056E-2</v>
      </c>
      <c r="BH149" s="546">
        <f t="shared" si="223"/>
        <v>4.5954082292817028E-2</v>
      </c>
      <c r="BI149" s="546">
        <f t="shared" si="224"/>
        <v>4.3749999999999995E-3</v>
      </c>
      <c r="BJ149" s="546">
        <f t="shared" si="225"/>
        <v>1.3622175E-2</v>
      </c>
      <c r="BK149">
        <f t="shared" si="226"/>
        <v>3.48E-3</v>
      </c>
      <c r="BM149" s="472">
        <f t="shared" si="227"/>
        <v>92.650184174339088</v>
      </c>
      <c r="BN149" s="546">
        <f t="shared" si="228"/>
        <v>0.15600000000000003</v>
      </c>
      <c r="BQ149" s="472">
        <f t="shared" si="229"/>
        <v>156.00000000000003</v>
      </c>
      <c r="BR149" s="546">
        <f t="shared" si="230"/>
        <v>1.4410815360869748E-2</v>
      </c>
      <c r="BS149" s="546">
        <f t="shared" si="231"/>
        <v>2.1306246636148739E-2</v>
      </c>
      <c r="BT149" s="546">
        <f t="shared" si="232"/>
        <v>3.5736875712219097E-2</v>
      </c>
      <c r="BU149" s="546"/>
      <c r="BV149" s="546">
        <f t="shared" si="233"/>
        <v>1.3780000000000002E-2</v>
      </c>
      <c r="BW149" s="472">
        <f t="shared" si="234"/>
        <v>85.23393770923758</v>
      </c>
      <c r="BX149" s="179">
        <f t="shared" si="235"/>
        <v>0.33388412188357669</v>
      </c>
      <c r="BY149" s="6">
        <f t="shared" si="236"/>
        <v>1.9500000000000002</v>
      </c>
      <c r="BZ149" s="179">
        <f t="shared" si="237"/>
        <v>0.85380864174132698</v>
      </c>
      <c r="CA149" s="6">
        <f t="shared" si="238"/>
        <v>85.380864174132697</v>
      </c>
      <c r="CD149" s="581">
        <f t="shared" si="280"/>
        <v>-50</v>
      </c>
      <c r="CE149">
        <f t="shared" si="281"/>
        <v>-50</v>
      </c>
    </row>
    <row r="150" spans="5:83" x14ac:dyDescent="0.2">
      <c r="E150" s="176">
        <v>40</v>
      </c>
      <c r="F150" s="223">
        <f t="shared" si="282"/>
        <v>0.4</v>
      </c>
      <c r="G150" s="223"/>
      <c r="H150" s="223">
        <f t="shared" si="252"/>
        <v>2</v>
      </c>
      <c r="I150" s="559">
        <f t="shared" si="253"/>
        <v>12</v>
      </c>
      <c r="J150" s="454">
        <f t="shared" si="254"/>
        <v>15.899999999999999</v>
      </c>
      <c r="K150" s="454">
        <f t="shared" si="255"/>
        <v>27.9</v>
      </c>
      <c r="L150" s="454"/>
      <c r="M150" s="223">
        <f t="shared" si="256"/>
        <v>0.56989247311827951</v>
      </c>
      <c r="N150" s="178">
        <f t="shared" si="257"/>
        <v>4.6161290322580646</v>
      </c>
      <c r="O150" s="178">
        <f t="shared" si="248"/>
        <v>2</v>
      </c>
      <c r="P150" s="223">
        <f t="shared" si="258"/>
        <v>0.9232258064516129</v>
      </c>
      <c r="Q150" s="223">
        <f t="shared" si="259"/>
        <v>5</v>
      </c>
      <c r="R150" s="223"/>
      <c r="S150" s="178">
        <f t="shared" si="260"/>
        <v>16.322192641840726</v>
      </c>
      <c r="T150" s="178">
        <f t="shared" si="261"/>
        <v>5</v>
      </c>
      <c r="U150" s="223">
        <f t="shared" si="262"/>
        <v>0.64989517819706499</v>
      </c>
      <c r="V150" s="223">
        <f t="shared" si="263"/>
        <v>1.6247379454926627</v>
      </c>
      <c r="W150" s="223">
        <f t="shared" si="264"/>
        <v>1.2262173173529529</v>
      </c>
      <c r="X150" s="203">
        <f t="shared" si="265"/>
        <v>350</v>
      </c>
      <c r="Y150" s="454">
        <f t="shared" si="203"/>
        <v>350</v>
      </c>
      <c r="AA150" s="223">
        <f t="shared" si="266"/>
        <v>0.65130568356374818</v>
      </c>
      <c r="AB150" s="179">
        <f t="shared" si="267"/>
        <v>1.2288786482334872</v>
      </c>
      <c r="AC150" s="179">
        <f t="shared" si="268"/>
        <v>0.42019721520241832</v>
      </c>
      <c r="AD150" s="179"/>
      <c r="AE150" s="179">
        <f t="shared" si="269"/>
        <v>0.5660377358490567</v>
      </c>
      <c r="AF150" s="563">
        <f t="shared" si="270"/>
        <v>1570.3703703703702</v>
      </c>
      <c r="AG150" s="546">
        <f t="shared" si="271"/>
        <v>8.9150943396226423E-2</v>
      </c>
      <c r="AI150" s="179">
        <f t="shared" si="272"/>
        <v>0.63546008828999145</v>
      </c>
      <c r="AJ150" s="179">
        <f t="shared" si="273"/>
        <v>0.63546008828999145</v>
      </c>
      <c r="AK150" s="179">
        <f t="shared" si="274"/>
        <v>1.4484889542888826</v>
      </c>
      <c r="AM150" s="563">
        <f t="shared" si="275"/>
        <v>400</v>
      </c>
      <c r="AN150" s="472">
        <f t="shared" si="276"/>
        <v>350</v>
      </c>
      <c r="AP150" s="472">
        <f t="shared" si="277"/>
        <v>400</v>
      </c>
      <c r="AQ150" s="472">
        <f t="shared" si="278"/>
        <v>350</v>
      </c>
      <c r="AS150" s="6">
        <f t="shared" si="249"/>
        <v>2.8571428571428572</v>
      </c>
      <c r="AT150" s="6">
        <f t="shared" si="279"/>
        <v>1.5886502207249786</v>
      </c>
      <c r="AU150" s="6">
        <f t="shared" si="218"/>
        <v>1.2684926364178786</v>
      </c>
      <c r="AV150" s="6"/>
      <c r="AW150" s="179">
        <f t="shared" si="219"/>
        <v>0.55602757725374252</v>
      </c>
      <c r="AX150" s="179">
        <f t="shared" si="245"/>
        <v>2.1199999999999997</v>
      </c>
      <c r="AY150" s="179">
        <f t="shared" si="246"/>
        <v>0.42319013243498727</v>
      </c>
      <c r="AZ150" s="179">
        <f t="shared" si="250"/>
        <v>5.009568601710451</v>
      </c>
      <c r="BA150" s="472">
        <f t="shared" si="243"/>
        <v>12.709201765799829</v>
      </c>
      <c r="BB150" s="6">
        <f t="shared" si="244"/>
        <v>0.1957550364842405</v>
      </c>
      <c r="BD150" s="179">
        <f t="shared" si="251"/>
        <v>0.27357462796331394</v>
      </c>
      <c r="BE150" s="179">
        <f t="shared" si="247"/>
        <v>0.73337635484189179</v>
      </c>
      <c r="BG150" s="546">
        <f t="shared" si="222"/>
        <v>2.6195076972842971E-2</v>
      </c>
      <c r="BH150" s="546">
        <f t="shared" si="223"/>
        <v>4.653950821613824E-2</v>
      </c>
      <c r="BI150" s="546">
        <f t="shared" si="224"/>
        <v>4.3749999999999995E-3</v>
      </c>
      <c r="BJ150" s="546">
        <f t="shared" si="225"/>
        <v>1.3622175E-2</v>
      </c>
      <c r="BK150">
        <f t="shared" si="226"/>
        <v>3.48E-3</v>
      </c>
      <c r="BM150" s="472">
        <f t="shared" si="227"/>
        <v>94.211760188981216</v>
      </c>
      <c r="BN150" s="546">
        <f t="shared" si="228"/>
        <v>0.16000000000000003</v>
      </c>
      <c r="BQ150" s="472">
        <f t="shared" si="229"/>
        <v>160.00000000000003</v>
      </c>
      <c r="BR150" s="546">
        <f t="shared" si="230"/>
        <v>1.4968615413053128E-2</v>
      </c>
      <c r="BS150" s="546">
        <f t="shared" si="231"/>
        <v>2.1513635113647216E-2</v>
      </c>
      <c r="BT150" s="546">
        <f t="shared" si="232"/>
        <v>3.6885936316833005E-2</v>
      </c>
      <c r="BU150" s="546"/>
      <c r="BV150" s="546">
        <f t="shared" si="233"/>
        <v>1.4133333333333331E-2</v>
      </c>
      <c r="BW150" s="472">
        <f t="shared" si="234"/>
        <v>87.501520176866691</v>
      </c>
      <c r="BX150" s="179">
        <f t="shared" si="235"/>
        <v>0.34171328036584792</v>
      </c>
      <c r="BY150" s="6">
        <f t="shared" si="236"/>
        <v>2</v>
      </c>
      <c r="BZ150" s="179">
        <f t="shared" si="237"/>
        <v>0.85407552528699771</v>
      </c>
      <c r="CA150" s="6">
        <f t="shared" si="238"/>
        <v>85.407552528699767</v>
      </c>
      <c r="CD150" s="581">
        <f t="shared" si="280"/>
        <v>-50</v>
      </c>
      <c r="CE150">
        <f t="shared" si="281"/>
        <v>-50</v>
      </c>
    </row>
    <row r="151" spans="5:83" x14ac:dyDescent="0.2">
      <c r="E151" s="176">
        <v>41</v>
      </c>
      <c r="F151" s="223">
        <f t="shared" si="282"/>
        <v>0.41</v>
      </c>
      <c r="G151" s="223"/>
      <c r="H151" s="223">
        <f t="shared" si="252"/>
        <v>2.0499999999999998</v>
      </c>
      <c r="I151" s="559">
        <f t="shared" si="253"/>
        <v>12</v>
      </c>
      <c r="J151" s="454">
        <f t="shared" si="254"/>
        <v>15.899999999999999</v>
      </c>
      <c r="K151" s="454">
        <f t="shared" si="255"/>
        <v>27.9</v>
      </c>
      <c r="L151" s="454"/>
      <c r="M151" s="223">
        <f t="shared" si="256"/>
        <v>0.56989247311827951</v>
      </c>
      <c r="N151" s="178">
        <f t="shared" si="257"/>
        <v>4.6161290322580646</v>
      </c>
      <c r="O151" s="178">
        <f t="shared" si="248"/>
        <v>2.0499999999999998</v>
      </c>
      <c r="P151" s="223">
        <f t="shared" si="258"/>
        <v>0.9232258064516129</v>
      </c>
      <c r="Q151" s="223">
        <f t="shared" si="259"/>
        <v>5</v>
      </c>
      <c r="R151" s="223"/>
      <c r="S151" s="178">
        <f t="shared" si="260"/>
        <v>15.830490833467373</v>
      </c>
      <c r="T151" s="178">
        <f t="shared" si="261"/>
        <v>5</v>
      </c>
      <c r="U151" s="223">
        <f t="shared" si="262"/>
        <v>0.6661425576519916</v>
      </c>
      <c r="V151" s="223">
        <f t="shared" si="263"/>
        <v>1.6653563941299792</v>
      </c>
      <c r="W151" s="223">
        <f t="shared" si="264"/>
        <v>1.2568727502867767</v>
      </c>
      <c r="X151" s="203">
        <f t="shared" si="265"/>
        <v>350</v>
      </c>
      <c r="Y151" s="454">
        <f t="shared" si="203"/>
        <v>342.20451257582295</v>
      </c>
      <c r="AA151" s="223">
        <f t="shared" si="266"/>
        <v>0.65130568356374818</v>
      </c>
      <c r="AB151" s="179">
        <f t="shared" si="267"/>
        <v>1.2288786482334872</v>
      </c>
      <c r="AC151" s="179">
        <f t="shared" si="268"/>
        <v>0.42019721520241832</v>
      </c>
      <c r="AD151" s="179"/>
      <c r="AE151" s="179">
        <f t="shared" si="269"/>
        <v>0.5660377358490567</v>
      </c>
      <c r="AF151" s="563">
        <f t="shared" si="270"/>
        <v>1609.6296296296291</v>
      </c>
      <c r="AG151" s="546">
        <f t="shared" si="271"/>
        <v>8.9150943396226423E-2</v>
      </c>
      <c r="AI151" s="179">
        <f t="shared" si="272"/>
        <v>0.64335430511092551</v>
      </c>
      <c r="AJ151" s="179">
        <f t="shared" si="273"/>
        <v>0.64335430511092551</v>
      </c>
      <c r="AK151" s="179">
        <f t="shared" si="274"/>
        <v>1.4543365223043891</v>
      </c>
      <c r="AM151" s="563">
        <f t="shared" si="275"/>
        <v>410</v>
      </c>
      <c r="AN151" s="472">
        <f t="shared" si="276"/>
        <v>342.20451257582295</v>
      </c>
      <c r="AP151" s="472">
        <f t="shared" si="277"/>
        <v>410</v>
      </c>
      <c r="AQ151" s="472">
        <f t="shared" si="278"/>
        <v>342.20451257582295</v>
      </c>
      <c r="AS151" s="6">
        <f t="shared" si="249"/>
        <v>2.9222291444167556</v>
      </c>
      <c r="AT151" s="6">
        <f t="shared" si="279"/>
        <v>1.6083857627773139</v>
      </c>
      <c r="AU151" s="6">
        <f t="shared" si="218"/>
        <v>1.3138433816394417</v>
      </c>
      <c r="AV151" s="6"/>
      <c r="AW151" s="179">
        <f t="shared" si="219"/>
        <v>0.55039686598510396</v>
      </c>
      <c r="AX151" s="179">
        <f t="shared" si="245"/>
        <v>2.124601159506466</v>
      </c>
      <c r="AY151" s="179">
        <f t="shared" si="246"/>
        <v>0.43388116778977165</v>
      </c>
      <c r="AZ151" s="179">
        <f t="shared" si="250"/>
        <v>4.8967351367872656</v>
      </c>
      <c r="BA151" s="472">
        <f t="shared" si="243"/>
        <v>13.188763254773974</v>
      </c>
      <c r="BB151" s="6">
        <f t="shared" si="244"/>
        <v>0.20782244848463385</v>
      </c>
      <c r="BD151" s="179">
        <f t="shared" si="251"/>
        <v>0.27556722335859152</v>
      </c>
      <c r="BE151" s="179">
        <f t="shared" si="247"/>
        <v>0.74718045638802066</v>
      </c>
      <c r="BG151" s="546">
        <f t="shared" si="222"/>
        <v>2.6578053106347355E-2</v>
      </c>
      <c r="BH151" s="546">
        <f t="shared" si="223"/>
        <v>4.6068217682953189E-2</v>
      </c>
      <c r="BI151" s="546">
        <f t="shared" si="224"/>
        <v>4.2775564071977868E-3</v>
      </c>
      <c r="BJ151" s="546">
        <f t="shared" si="225"/>
        <v>1.3318770731707317E-2</v>
      </c>
      <c r="BK151">
        <f t="shared" si="226"/>
        <v>3.48E-3</v>
      </c>
      <c r="BM151" s="472">
        <f t="shared" si="227"/>
        <v>93.722597928205644</v>
      </c>
      <c r="BN151" s="546">
        <f t="shared" si="228"/>
        <v>0.16400000000000001</v>
      </c>
      <c r="BQ151" s="472">
        <f t="shared" si="229"/>
        <v>164</v>
      </c>
      <c r="BR151" s="546">
        <f t="shared" si="230"/>
        <v>1.5187458917912774E-2</v>
      </c>
      <c r="BS151" s="546">
        <f t="shared" si="231"/>
        <v>2.2331145376328434E-2</v>
      </c>
      <c r="BT151" s="546">
        <f t="shared" si="232"/>
        <v>3.5959186936078191E-2</v>
      </c>
      <c r="BU151" s="546"/>
      <c r="BV151" s="546">
        <f t="shared" si="233"/>
        <v>1.4164007730043107E-2</v>
      </c>
      <c r="BW151" s="472">
        <f t="shared" si="234"/>
        <v>87.641798960362507</v>
      </c>
      <c r="BX151" s="179">
        <f t="shared" si="235"/>
        <v>0.34536439688856813</v>
      </c>
      <c r="BY151" s="6">
        <f t="shared" si="236"/>
        <v>2.0499999999999998</v>
      </c>
      <c r="BZ151" s="179">
        <f t="shared" si="237"/>
        <v>0.85581968349484716</v>
      </c>
      <c r="CA151" s="6">
        <f t="shared" si="238"/>
        <v>85.581968349484711</v>
      </c>
      <c r="CD151" s="581">
        <f t="shared" si="280"/>
        <v>-50</v>
      </c>
      <c r="CE151">
        <f t="shared" si="281"/>
        <v>-50</v>
      </c>
    </row>
    <row r="152" spans="5:83" x14ac:dyDescent="0.2">
      <c r="E152" s="176">
        <v>42</v>
      </c>
      <c r="F152" s="223">
        <f t="shared" si="282"/>
        <v>0.42</v>
      </c>
      <c r="G152" s="223"/>
      <c r="H152" s="223">
        <f t="shared" si="252"/>
        <v>2.1</v>
      </c>
      <c r="I152" s="559">
        <f t="shared" si="253"/>
        <v>12</v>
      </c>
      <c r="J152" s="454">
        <f t="shared" si="254"/>
        <v>15.899999999999999</v>
      </c>
      <c r="K152" s="454">
        <f t="shared" si="255"/>
        <v>27.9</v>
      </c>
      <c r="L152" s="454"/>
      <c r="M152" s="223">
        <f t="shared" si="256"/>
        <v>0.56989247311827951</v>
      </c>
      <c r="N152" s="178">
        <f t="shared" si="257"/>
        <v>4.6161290322580646</v>
      </c>
      <c r="O152" s="178">
        <f t="shared" si="248"/>
        <v>2.1</v>
      </c>
      <c r="P152" s="223">
        <f t="shared" si="258"/>
        <v>0.9232258064516129</v>
      </c>
      <c r="Q152" s="223">
        <f t="shared" si="259"/>
        <v>5</v>
      </c>
      <c r="R152" s="223"/>
      <c r="S152" s="178">
        <f t="shared" si="260"/>
        <v>15.362331232590179</v>
      </c>
      <c r="T152" s="178">
        <f t="shared" si="261"/>
        <v>5</v>
      </c>
      <c r="U152" s="223">
        <f t="shared" si="262"/>
        <v>0.68238993710691831</v>
      </c>
      <c r="V152" s="223">
        <f t="shared" si="263"/>
        <v>1.7059748427672958</v>
      </c>
      <c r="W152" s="223">
        <f t="shared" si="264"/>
        <v>1.2875281832206007</v>
      </c>
      <c r="X152" s="203">
        <f t="shared" si="265"/>
        <v>350</v>
      </c>
      <c r="Y152" s="454">
        <f t="shared" si="203"/>
        <v>334.05678608592234</v>
      </c>
      <c r="AA152" s="223">
        <f t="shared" si="266"/>
        <v>0.65130568356374818</v>
      </c>
      <c r="AB152" s="179">
        <f t="shared" si="267"/>
        <v>1.2288786482334872</v>
      </c>
      <c r="AC152" s="179">
        <f t="shared" si="268"/>
        <v>0.42019721520241832</v>
      </c>
      <c r="AD152" s="179"/>
      <c r="AE152" s="179">
        <f t="shared" si="269"/>
        <v>0.5660377358490567</v>
      </c>
      <c r="AF152" s="563">
        <f t="shared" si="270"/>
        <v>1648.8888888888885</v>
      </c>
      <c r="AG152" s="546">
        <f t="shared" si="271"/>
        <v>8.9150943396226423E-2</v>
      </c>
      <c r="AI152" s="179">
        <f t="shared" si="272"/>
        <v>0.6511528238439882</v>
      </c>
      <c r="AJ152" s="179">
        <f t="shared" si="273"/>
        <v>0.6511528238439882</v>
      </c>
      <c r="AK152" s="179">
        <f t="shared" si="274"/>
        <v>1.4601132028473987</v>
      </c>
      <c r="AM152" s="563">
        <f t="shared" si="275"/>
        <v>420</v>
      </c>
      <c r="AN152" s="472">
        <f t="shared" si="276"/>
        <v>334.05678608592234</v>
      </c>
      <c r="AP152" s="472">
        <f t="shared" si="277"/>
        <v>420</v>
      </c>
      <c r="AQ152" s="472">
        <f t="shared" si="278"/>
        <v>334.05678608592234</v>
      </c>
      <c r="AS152" s="6">
        <f t="shared" si="249"/>
        <v>2.9935030259878963</v>
      </c>
      <c r="AT152" s="6">
        <f t="shared" si="279"/>
        <v>1.6278820596099706</v>
      </c>
      <c r="AU152" s="6">
        <f t="shared" si="218"/>
        <v>1.3656209663779257</v>
      </c>
      <c r="AV152" s="6"/>
      <c r="AW152" s="179">
        <f t="shared" si="219"/>
        <v>0.54380504896023862</v>
      </c>
      <c r="AX152" s="179">
        <f t="shared" si="245"/>
        <v>2.124601159506466</v>
      </c>
      <c r="AY152" s="179">
        <f t="shared" si="246"/>
        <v>0.44557894588936581</v>
      </c>
      <c r="AZ152" s="179">
        <f t="shared" si="250"/>
        <v>4.7681812148143772</v>
      </c>
      <c r="BA152" s="472">
        <f t="shared" si="243"/>
        <v>13.674209300723751</v>
      </c>
      <c r="BB152" s="6">
        <f t="shared" si="244"/>
        <v>0.22128117510753426</v>
      </c>
      <c r="BD152" s="179">
        <f t="shared" si="251"/>
        <v>0.27723235787520734</v>
      </c>
      <c r="BE152" s="179">
        <f t="shared" si="247"/>
        <v>0.76176110278917253</v>
      </c>
      <c r="BG152" s="546">
        <f t="shared" si="222"/>
        <v>2.6900223088566457E-2</v>
      </c>
      <c r="BH152" s="546">
        <f t="shared" si="223"/>
        <v>4.5516482597971961E-2</v>
      </c>
      <c r="BI152" s="546">
        <f t="shared" si="224"/>
        <v>4.1757098260740292E-3</v>
      </c>
      <c r="BJ152" s="546">
        <f t="shared" si="225"/>
        <v>1.3001657142857141E-2</v>
      </c>
      <c r="BK152">
        <f t="shared" si="226"/>
        <v>3.48E-3</v>
      </c>
      <c r="BM152" s="472">
        <f t="shared" si="227"/>
        <v>93.074072655469593</v>
      </c>
      <c r="BN152" s="546">
        <f t="shared" si="228"/>
        <v>0.16800000000000001</v>
      </c>
      <c r="BQ152" s="472">
        <f t="shared" si="229"/>
        <v>168</v>
      </c>
      <c r="BR152" s="546">
        <f t="shared" si="230"/>
        <v>1.5371556050609407E-2</v>
      </c>
      <c r="BS152" s="546">
        <f t="shared" si="231"/>
        <v>2.3211199108903048E-2</v>
      </c>
      <c r="BT152" s="546">
        <f t="shared" si="232"/>
        <v>3.4892177358984582E-2</v>
      </c>
      <c r="BU152" s="546"/>
      <c r="BV152" s="546">
        <f t="shared" si="233"/>
        <v>1.4164007730043105E-2</v>
      </c>
      <c r="BW152" s="472">
        <f t="shared" si="234"/>
        <v>87.638940248540152</v>
      </c>
      <c r="BX152" s="179">
        <f t="shared" si="235"/>
        <v>0.3487130129040098</v>
      </c>
      <c r="BY152" s="6">
        <f t="shared" si="236"/>
        <v>2.1</v>
      </c>
      <c r="BZ152" s="179">
        <f t="shared" si="237"/>
        <v>0.85759335166416273</v>
      </c>
      <c r="CA152" s="6">
        <f t="shared" si="238"/>
        <v>85.759335166416278</v>
      </c>
      <c r="CD152" s="581">
        <f t="shared" si="280"/>
        <v>-50</v>
      </c>
      <c r="CE152">
        <f t="shared" si="281"/>
        <v>-50</v>
      </c>
    </row>
    <row r="153" spans="5:83" x14ac:dyDescent="0.2">
      <c r="E153" s="176">
        <v>43</v>
      </c>
      <c r="F153" s="223">
        <f t="shared" si="282"/>
        <v>0.43</v>
      </c>
      <c r="G153" s="223"/>
      <c r="H153" s="223">
        <f t="shared" si="252"/>
        <v>2.15</v>
      </c>
      <c r="I153" s="559">
        <f t="shared" si="253"/>
        <v>12</v>
      </c>
      <c r="J153" s="454">
        <f t="shared" si="254"/>
        <v>15.899999999999999</v>
      </c>
      <c r="K153" s="454">
        <f t="shared" si="255"/>
        <v>27.9</v>
      </c>
      <c r="L153" s="454"/>
      <c r="M153" s="223">
        <f t="shared" si="256"/>
        <v>0.56989247311827951</v>
      </c>
      <c r="N153" s="178">
        <f t="shared" si="257"/>
        <v>4.6161290322580646</v>
      </c>
      <c r="O153" s="178">
        <f t="shared" si="248"/>
        <v>2.15</v>
      </c>
      <c r="P153" s="223">
        <f t="shared" si="258"/>
        <v>0.9232258064516129</v>
      </c>
      <c r="Q153" s="223">
        <f t="shared" si="259"/>
        <v>5</v>
      </c>
      <c r="R153" s="223"/>
      <c r="S153" s="178">
        <f t="shared" si="260"/>
        <v>14.916073275851817</v>
      </c>
      <c r="T153" s="178">
        <f t="shared" si="261"/>
        <v>5</v>
      </c>
      <c r="U153" s="223">
        <f t="shared" si="262"/>
        <v>0.69863731656184491</v>
      </c>
      <c r="V153" s="223">
        <f t="shared" si="263"/>
        <v>1.7465932914046123</v>
      </c>
      <c r="W153" s="223">
        <f t="shared" si="264"/>
        <v>1.3181836161544245</v>
      </c>
      <c r="X153" s="203">
        <f t="shared" si="265"/>
        <v>350</v>
      </c>
      <c r="Y153" s="454">
        <f t="shared" si="203"/>
        <v>326.28802361880787</v>
      </c>
      <c r="AA153" s="223">
        <f t="shared" si="266"/>
        <v>0.65130568356374818</v>
      </c>
      <c r="AB153" s="179">
        <f t="shared" si="267"/>
        <v>1.2288786482334872</v>
      </c>
      <c r="AC153" s="179">
        <f t="shared" si="268"/>
        <v>0.42019721520241832</v>
      </c>
      <c r="AD153" s="179"/>
      <c r="AE153" s="179">
        <f t="shared" si="269"/>
        <v>0.5660377358490567</v>
      </c>
      <c r="AF153" s="563">
        <f t="shared" si="270"/>
        <v>1688.1481481481478</v>
      </c>
      <c r="AG153" s="546">
        <f t="shared" si="271"/>
        <v>8.9150943396226423E-2</v>
      </c>
      <c r="AI153" s="179">
        <f t="shared" si="272"/>
        <v>0.65885904266029316</v>
      </c>
      <c r="AJ153" s="179">
        <f t="shared" si="273"/>
        <v>0.69863731656184491</v>
      </c>
      <c r="AK153" s="179">
        <f t="shared" si="274"/>
        <v>1.4952869011569221</v>
      </c>
      <c r="AM153" s="563">
        <f t="shared" si="275"/>
        <v>430</v>
      </c>
      <c r="AN153" s="472">
        <f t="shared" si="276"/>
        <v>326.28802361880787</v>
      </c>
      <c r="AP153" s="472">
        <f t="shared" si="277"/>
        <v>430</v>
      </c>
      <c r="AQ153" s="472">
        <f t="shared" si="278"/>
        <v>326.28802361880787</v>
      </c>
      <c r="AS153" s="6">
        <f t="shared" si="249"/>
        <v>3.064776907559037</v>
      </c>
      <c r="AT153" s="6">
        <f t="shared" si="279"/>
        <v>1.7465932914046123</v>
      </c>
      <c r="AU153" s="6">
        <f t="shared" si="218"/>
        <v>1.3181836161544247</v>
      </c>
      <c r="AV153" s="6"/>
      <c r="AW153" s="179">
        <f t="shared" si="219"/>
        <v>0.56989247311827951</v>
      </c>
      <c r="AX153" s="179">
        <f t="shared" si="245"/>
        <v>2.3888888888888888</v>
      </c>
      <c r="AY153" s="179">
        <f t="shared" si="246"/>
        <v>0.45073375262054516</v>
      </c>
      <c r="AZ153" s="179">
        <f t="shared" si="250"/>
        <v>5.2999999999999989</v>
      </c>
      <c r="BA153" s="472">
        <f t="shared" si="243"/>
        <v>15.020702306079665</v>
      </c>
      <c r="BB153" s="6">
        <f t="shared" si="244"/>
        <v>0.21868015237129729</v>
      </c>
      <c r="BD153" s="179">
        <f t="shared" si="251"/>
        <v>0.3045002210268985</v>
      </c>
      <c r="BE153" s="179">
        <f t="shared" si="247"/>
        <v>0.79359866357582554</v>
      </c>
      <c r="BG153" s="546">
        <f t="shared" si="222"/>
        <v>3.245213461190051E-2</v>
      </c>
      <c r="BH153" s="546">
        <f t="shared" si="223"/>
        <v>4.7699999999999985E-2</v>
      </c>
      <c r="BI153" s="546">
        <f t="shared" si="224"/>
        <v>4.0786002952350985E-3</v>
      </c>
      <c r="BJ153" s="546">
        <f t="shared" si="225"/>
        <v>1.2699293023255813E-2</v>
      </c>
      <c r="BK153">
        <f t="shared" si="226"/>
        <v>3.48E-3</v>
      </c>
      <c r="BM153" s="472">
        <f t="shared" si="227"/>
        <v>100.41002793039141</v>
      </c>
      <c r="BN153" s="546">
        <f t="shared" si="228"/>
        <v>0.17200000000000001</v>
      </c>
      <c r="BQ153" s="472">
        <f t="shared" si="229"/>
        <v>172</v>
      </c>
      <c r="BR153" s="546">
        <f t="shared" si="230"/>
        <v>1.8544076921086009E-2</v>
      </c>
      <c r="BS153" s="546">
        <f t="shared" si="231"/>
        <v>2.5191953553173451E-2</v>
      </c>
      <c r="BT153" s="546">
        <f t="shared" si="232"/>
        <v>3.9228552675452839E-2</v>
      </c>
      <c r="BU153" s="546"/>
      <c r="BV153" s="546">
        <f t="shared" si="233"/>
        <v>1.592592592592593E-2</v>
      </c>
      <c r="BW153" s="472">
        <f t="shared" si="234"/>
        <v>98.890509075638235</v>
      </c>
      <c r="BX153" s="179">
        <f t="shared" si="235"/>
        <v>0.37130053700602966</v>
      </c>
      <c r="BY153" s="6">
        <f t="shared" si="236"/>
        <v>2.15</v>
      </c>
      <c r="BZ153" s="179">
        <f t="shared" si="237"/>
        <v>0.85273451873098072</v>
      </c>
      <c r="CA153" s="6">
        <f t="shared" si="238"/>
        <v>85.273451873098068</v>
      </c>
      <c r="CD153" s="581">
        <f t="shared" si="280"/>
        <v>-50</v>
      </c>
      <c r="CE153">
        <f t="shared" si="281"/>
        <v>-50</v>
      </c>
    </row>
    <row r="154" spans="5:83" x14ac:dyDescent="0.2">
      <c r="E154" s="176">
        <v>44</v>
      </c>
      <c r="F154" s="223">
        <f t="shared" si="282"/>
        <v>0.44</v>
      </c>
      <c r="G154" s="223"/>
      <c r="H154" s="223">
        <f t="shared" si="252"/>
        <v>2.2000000000000002</v>
      </c>
      <c r="I154" s="559">
        <f t="shared" si="253"/>
        <v>12</v>
      </c>
      <c r="J154" s="454">
        <f t="shared" si="254"/>
        <v>15.899999999999999</v>
      </c>
      <c r="K154" s="454">
        <f t="shared" si="255"/>
        <v>27.9</v>
      </c>
      <c r="L154" s="454"/>
      <c r="M154" s="223">
        <f t="shared" si="256"/>
        <v>0.56989247311827951</v>
      </c>
      <c r="N154" s="178">
        <f t="shared" si="257"/>
        <v>4.6161290322580646</v>
      </c>
      <c r="O154" s="178">
        <f t="shared" si="248"/>
        <v>2.2000000000000002</v>
      </c>
      <c r="P154" s="223">
        <f t="shared" si="258"/>
        <v>0.9232258064516129</v>
      </c>
      <c r="Q154" s="223">
        <f t="shared" si="259"/>
        <v>5</v>
      </c>
      <c r="R154" s="223"/>
      <c r="S154" s="178">
        <f t="shared" si="260"/>
        <v>14.490225574277289</v>
      </c>
      <c r="T154" s="178">
        <f t="shared" si="261"/>
        <v>5</v>
      </c>
      <c r="U154" s="223">
        <f t="shared" si="262"/>
        <v>0.71488469601677163</v>
      </c>
      <c r="V154" s="223">
        <f t="shared" si="263"/>
        <v>1.7872117400419292</v>
      </c>
      <c r="W154" s="223">
        <f t="shared" si="264"/>
        <v>1.3488390490882485</v>
      </c>
      <c r="X154" s="203">
        <f t="shared" si="265"/>
        <v>350</v>
      </c>
      <c r="Y154" s="454">
        <f t="shared" si="203"/>
        <v>318.87238671838037</v>
      </c>
      <c r="AA154" s="223">
        <f t="shared" si="266"/>
        <v>0.65130568356374818</v>
      </c>
      <c r="AB154" s="179">
        <f t="shared" si="267"/>
        <v>1.2288786482334872</v>
      </c>
      <c r="AC154" s="179">
        <f t="shared" si="268"/>
        <v>0.42019721520241832</v>
      </c>
      <c r="AD154" s="179"/>
      <c r="AE154" s="179">
        <f t="shared" si="269"/>
        <v>0.5660377358490567</v>
      </c>
      <c r="AF154" s="563">
        <f t="shared" si="270"/>
        <v>1727.4074074074072</v>
      </c>
      <c r="AG154" s="546">
        <f t="shared" si="271"/>
        <v>8.9150943396226423E-2</v>
      </c>
      <c r="AI154" s="179">
        <f t="shared" si="272"/>
        <v>0.66647616325752879</v>
      </c>
      <c r="AJ154" s="179">
        <f t="shared" si="273"/>
        <v>0.71488469601677163</v>
      </c>
      <c r="AK154" s="179">
        <f t="shared" si="274"/>
        <v>1.5073219970494605</v>
      </c>
      <c r="AM154" s="563">
        <f t="shared" si="275"/>
        <v>440</v>
      </c>
      <c r="AN154" s="472">
        <f t="shared" si="276"/>
        <v>318.87238671838037</v>
      </c>
      <c r="AP154" s="472">
        <f t="shared" si="277"/>
        <v>440</v>
      </c>
      <c r="AQ154" s="472">
        <f t="shared" si="278"/>
        <v>318.87238671838037</v>
      </c>
      <c r="AS154" s="6">
        <f t="shared" si="249"/>
        <v>3.1360507891301781</v>
      </c>
      <c r="AT154" s="6">
        <f t="shared" si="279"/>
        <v>1.7872117400419292</v>
      </c>
      <c r="AU154" s="6">
        <f t="shared" si="218"/>
        <v>1.3488390490882489</v>
      </c>
      <c r="AV154" s="6"/>
      <c r="AW154" s="179">
        <f t="shared" si="219"/>
        <v>0.56989247311827951</v>
      </c>
      <c r="AX154" s="179">
        <f t="shared" si="245"/>
        <v>2.4444444444444442</v>
      </c>
      <c r="AY154" s="179">
        <f t="shared" si="246"/>
        <v>0.46121593291404622</v>
      </c>
      <c r="AZ154" s="179">
        <f t="shared" si="250"/>
        <v>5.299999999999998</v>
      </c>
      <c r="BA154" s="472">
        <f t="shared" si="243"/>
        <v>15.727463312368975</v>
      </c>
      <c r="BB154" s="6">
        <f t="shared" si="244"/>
        <v>0.22896959166621508</v>
      </c>
      <c r="BD154" s="179">
        <f t="shared" si="251"/>
        <v>0.31158162151589619</v>
      </c>
      <c r="BE154" s="179">
        <f t="shared" si="247"/>
        <v>0.81205444644968194</v>
      </c>
      <c r="BG154" s="546">
        <f t="shared" si="222"/>
        <v>3.3979087403266314E-2</v>
      </c>
      <c r="BH154" s="546">
        <f t="shared" si="223"/>
        <v>4.7699999999999979E-2</v>
      </c>
      <c r="BI154" s="546">
        <f t="shared" si="224"/>
        <v>3.9859048339797552E-3</v>
      </c>
      <c r="BJ154" s="546">
        <f t="shared" si="225"/>
        <v>1.2410672727272724E-2</v>
      </c>
      <c r="BK154">
        <f t="shared" si="226"/>
        <v>3.48E-3</v>
      </c>
      <c r="BM154" s="472">
        <f t="shared" si="227"/>
        <v>101.55566496451877</v>
      </c>
      <c r="BN154" s="546">
        <f t="shared" si="228"/>
        <v>0.17600000000000002</v>
      </c>
      <c r="BQ154" s="472">
        <f t="shared" si="229"/>
        <v>176.00000000000003</v>
      </c>
      <c r="BR154" s="546">
        <f t="shared" si="230"/>
        <v>1.9416621373295039E-2</v>
      </c>
      <c r="BS154" s="546">
        <f t="shared" si="231"/>
        <v>2.6377296959947977E-2</v>
      </c>
      <c r="BT154" s="546">
        <f t="shared" si="232"/>
        <v>3.9228552675452812E-2</v>
      </c>
      <c r="BU154" s="546"/>
      <c r="BV154" s="546">
        <f t="shared" si="233"/>
        <v>1.6296296296296298E-2</v>
      </c>
      <c r="BW154" s="472">
        <f t="shared" si="234"/>
        <v>101.31876730499214</v>
      </c>
      <c r="BX154" s="179">
        <f t="shared" si="235"/>
        <v>0.3788744322695109</v>
      </c>
      <c r="BY154" s="6">
        <f t="shared" si="236"/>
        <v>2.2000000000000002</v>
      </c>
      <c r="BZ154" s="179">
        <f t="shared" si="237"/>
        <v>0.85308535090788173</v>
      </c>
      <c r="CA154" s="6">
        <f t="shared" si="238"/>
        <v>85.308535090788169</v>
      </c>
      <c r="CD154" s="581">
        <f t="shared" si="280"/>
        <v>-50</v>
      </c>
      <c r="CE154">
        <f t="shared" si="281"/>
        <v>-50</v>
      </c>
    </row>
    <row r="155" spans="5:83" x14ac:dyDescent="0.2">
      <c r="E155" s="176">
        <v>45</v>
      </c>
      <c r="F155" s="223">
        <f t="shared" si="282"/>
        <v>0.45</v>
      </c>
      <c r="G155" s="223"/>
      <c r="H155" s="223">
        <f t="shared" si="252"/>
        <v>2.25</v>
      </c>
      <c r="I155" s="559">
        <f t="shared" si="253"/>
        <v>12</v>
      </c>
      <c r="J155" s="454">
        <f t="shared" si="254"/>
        <v>15.899999999999999</v>
      </c>
      <c r="K155" s="454">
        <f t="shared" si="255"/>
        <v>27.9</v>
      </c>
      <c r="L155" s="454"/>
      <c r="M155" s="223">
        <f t="shared" si="256"/>
        <v>0.56989247311827951</v>
      </c>
      <c r="N155" s="178">
        <f t="shared" si="257"/>
        <v>4.6161290322580646</v>
      </c>
      <c r="O155" s="178">
        <f t="shared" si="248"/>
        <v>2.25</v>
      </c>
      <c r="P155" s="223">
        <f t="shared" si="258"/>
        <v>0.9232258064516129</v>
      </c>
      <c r="Q155" s="223">
        <f t="shared" si="259"/>
        <v>5</v>
      </c>
      <c r="R155" s="223"/>
      <c r="S155" s="178">
        <f t="shared" si="260"/>
        <v>14.083429338840602</v>
      </c>
      <c r="T155" s="178">
        <f t="shared" si="261"/>
        <v>5</v>
      </c>
      <c r="U155" s="223">
        <f t="shared" si="262"/>
        <v>0.73113207547169812</v>
      </c>
      <c r="V155" s="223">
        <f t="shared" si="263"/>
        <v>1.8278301886792454</v>
      </c>
      <c r="W155" s="223">
        <f t="shared" si="264"/>
        <v>1.3794944820220723</v>
      </c>
      <c r="X155" s="203">
        <f t="shared" si="265"/>
        <v>350</v>
      </c>
      <c r="Y155" s="454">
        <f t="shared" si="203"/>
        <v>311.78633368019422</v>
      </c>
      <c r="AA155" s="223">
        <f t="shared" si="266"/>
        <v>0.65130568356374818</v>
      </c>
      <c r="AB155" s="179">
        <f t="shared" si="267"/>
        <v>1.2288786482334872</v>
      </c>
      <c r="AC155" s="179">
        <f t="shared" si="268"/>
        <v>0.42019721520241832</v>
      </c>
      <c r="AD155" s="179"/>
      <c r="AE155" s="179">
        <f t="shared" si="269"/>
        <v>0.5660377358490567</v>
      </c>
      <c r="AF155" s="563">
        <f t="shared" si="270"/>
        <v>1766.6666666666663</v>
      </c>
      <c r="AG155" s="546">
        <f t="shared" si="271"/>
        <v>8.9150943396226423E-2</v>
      </c>
      <c r="AI155" s="179">
        <f t="shared" si="272"/>
        <v>0.67400720640488276</v>
      </c>
      <c r="AJ155" s="179">
        <f t="shared" si="273"/>
        <v>0.73113207547169812</v>
      </c>
      <c r="AK155" s="179">
        <f t="shared" si="274"/>
        <v>1.5193570929419986</v>
      </c>
      <c r="AM155" s="563">
        <f t="shared" si="275"/>
        <v>450</v>
      </c>
      <c r="AN155" s="472">
        <f t="shared" si="276"/>
        <v>311.78633368019422</v>
      </c>
      <c r="AP155" s="472">
        <f t="shared" si="277"/>
        <v>450</v>
      </c>
      <c r="AQ155" s="472">
        <f t="shared" si="278"/>
        <v>311.78633368019422</v>
      </c>
      <c r="AS155" s="6">
        <f t="shared" si="249"/>
        <v>3.2073246707013174</v>
      </c>
      <c r="AT155" s="6">
        <f t="shared" si="279"/>
        <v>1.8278301886792454</v>
      </c>
      <c r="AU155" s="6">
        <f t="shared" si="218"/>
        <v>1.379494482022072</v>
      </c>
      <c r="AV155" s="6"/>
      <c r="AW155" s="179">
        <f t="shared" si="219"/>
        <v>0.56989247311827962</v>
      </c>
      <c r="AX155" s="179">
        <f t="shared" si="245"/>
        <v>2.4999999999999996</v>
      </c>
      <c r="AY155" s="179">
        <f t="shared" si="246"/>
        <v>0.47169811320754718</v>
      </c>
      <c r="AZ155" s="179">
        <f t="shared" si="250"/>
        <v>5.2999999999999989</v>
      </c>
      <c r="BA155" s="472">
        <f t="shared" si="243"/>
        <v>16.450471698113212</v>
      </c>
      <c r="BB155" s="6">
        <f t="shared" si="244"/>
        <v>0.2394955697954986</v>
      </c>
      <c r="BD155" s="179">
        <f t="shared" si="251"/>
        <v>0.31866302200489377</v>
      </c>
      <c r="BE155" s="179">
        <f t="shared" si="247"/>
        <v>0.83051022932353824</v>
      </c>
      <c r="BG155" s="546">
        <f t="shared" si="222"/>
        <v>3.5541142557651992E-2</v>
      </c>
      <c r="BH155" s="546">
        <f t="shared" si="223"/>
        <v>4.7699999999999985E-2</v>
      </c>
      <c r="BI155" s="546">
        <f t="shared" si="224"/>
        <v>3.8973291710024277E-3</v>
      </c>
      <c r="BJ155" s="546">
        <f t="shared" si="225"/>
        <v>1.2134880000000001E-2</v>
      </c>
      <c r="BK155">
        <f t="shared" si="226"/>
        <v>3.48E-3</v>
      </c>
      <c r="BM155" s="472">
        <f t="shared" si="227"/>
        <v>102.75335172865439</v>
      </c>
      <c r="BN155" s="546">
        <f t="shared" si="228"/>
        <v>0.18000000000000002</v>
      </c>
      <c r="BQ155" s="472">
        <f t="shared" si="229"/>
        <v>180.00000000000003</v>
      </c>
      <c r="BR155" s="546">
        <f t="shared" si="230"/>
        <v>2.0309224318658281E-2</v>
      </c>
      <c r="BS155" s="546">
        <f t="shared" si="231"/>
        <v>2.7589889640441446E-2</v>
      </c>
      <c r="BT155" s="546">
        <f t="shared" si="232"/>
        <v>3.9228552675452832E-2</v>
      </c>
      <c r="BU155" s="546"/>
      <c r="BV155" s="546">
        <f t="shared" si="233"/>
        <v>1.6666666666666663E-2</v>
      </c>
      <c r="BW155" s="472">
        <f t="shared" si="234"/>
        <v>103.79433330121923</v>
      </c>
      <c r="BX155" s="179">
        <f t="shared" si="235"/>
        <v>0.38654768502987363</v>
      </c>
      <c r="BY155" s="6">
        <f t="shared" si="236"/>
        <v>2.25</v>
      </c>
      <c r="BZ155" s="179">
        <f t="shared" si="237"/>
        <v>0.85338869946306561</v>
      </c>
      <c r="CA155" s="6">
        <f t="shared" si="238"/>
        <v>85.338869946306559</v>
      </c>
      <c r="CD155" s="581">
        <f t="shared" si="280"/>
        <v>-50</v>
      </c>
      <c r="CE155">
        <f t="shared" si="281"/>
        <v>-50</v>
      </c>
    </row>
    <row r="156" spans="5:83" s="78" customFormat="1" x14ac:dyDescent="0.2">
      <c r="E156" s="195">
        <v>46</v>
      </c>
      <c r="F156" s="335">
        <f t="shared" si="282"/>
        <v>0.46</v>
      </c>
      <c r="G156" s="335"/>
      <c r="H156" s="335">
        <f t="shared" si="252"/>
        <v>2.3000000000000003</v>
      </c>
      <c r="I156" s="559">
        <f t="shared" si="253"/>
        <v>12</v>
      </c>
      <c r="J156" s="454">
        <f t="shared" si="254"/>
        <v>15.899999999999999</v>
      </c>
      <c r="K156" s="553">
        <f t="shared" si="255"/>
        <v>27.9</v>
      </c>
      <c r="L156" s="553"/>
      <c r="M156" s="335">
        <f t="shared" si="256"/>
        <v>0.56989247311827951</v>
      </c>
      <c r="N156" s="554">
        <f t="shared" si="257"/>
        <v>4.6161290322580646</v>
      </c>
      <c r="O156" s="178">
        <f t="shared" si="248"/>
        <v>2.3000000000000003</v>
      </c>
      <c r="P156" s="335">
        <f t="shared" si="258"/>
        <v>0.9232258064516129</v>
      </c>
      <c r="Q156" s="335">
        <f t="shared" si="259"/>
        <v>5</v>
      </c>
      <c r="R156" s="335"/>
      <c r="S156" s="178">
        <f t="shared" si="260"/>
        <v>13.6944439679163</v>
      </c>
      <c r="T156" s="178">
        <f t="shared" si="261"/>
        <v>5</v>
      </c>
      <c r="U156" s="223">
        <f t="shared" si="262"/>
        <v>0.74737945492662483</v>
      </c>
      <c r="V156" s="335">
        <f t="shared" si="263"/>
        <v>1.8684486373165621</v>
      </c>
      <c r="W156" s="335">
        <f t="shared" si="264"/>
        <v>1.410149914955896</v>
      </c>
      <c r="X156" s="555">
        <f t="shared" si="265"/>
        <v>350</v>
      </c>
      <c r="Y156" s="553">
        <f t="shared" si="203"/>
        <v>305.0083699045378</v>
      </c>
      <c r="AA156" s="335">
        <f t="shared" si="266"/>
        <v>0.65130568356374818</v>
      </c>
      <c r="AB156" s="556">
        <f t="shared" si="267"/>
        <v>1.2288786482334872</v>
      </c>
      <c r="AC156" s="556">
        <f t="shared" si="268"/>
        <v>0.42019721520241832</v>
      </c>
      <c r="AD156" s="556"/>
      <c r="AE156" s="556">
        <f t="shared" si="269"/>
        <v>0.5660377358490567</v>
      </c>
      <c r="AF156" s="583">
        <f t="shared" si="270"/>
        <v>1805.9259259259256</v>
      </c>
      <c r="AG156" s="600">
        <f t="shared" si="271"/>
        <v>8.9150943396226423E-2</v>
      </c>
      <c r="AI156" s="556">
        <f t="shared" si="272"/>
        <v>0.68145502594151608</v>
      </c>
      <c r="AJ156" s="556">
        <f t="shared" si="273"/>
        <v>0.74737945492662483</v>
      </c>
      <c r="AK156" s="556">
        <f t="shared" si="274"/>
        <v>1.5313921888345368</v>
      </c>
      <c r="AM156" s="583">
        <f t="shared" si="275"/>
        <v>460</v>
      </c>
      <c r="AN156" s="584">
        <f t="shared" si="276"/>
        <v>305.0083699045378</v>
      </c>
      <c r="AP156" s="78">
        <f t="shared" si="277"/>
        <v>460</v>
      </c>
      <c r="AQ156" s="78">
        <f t="shared" si="278"/>
        <v>305.0083699045378</v>
      </c>
      <c r="AS156" s="552">
        <f t="shared" si="249"/>
        <v>3.2785985522724581</v>
      </c>
      <c r="AT156" s="6">
        <f t="shared" si="279"/>
        <v>1.8684486373165621</v>
      </c>
      <c r="AU156" s="6">
        <f t="shared" si="218"/>
        <v>1.410149914955896</v>
      </c>
      <c r="AV156" s="6"/>
      <c r="AW156" s="179">
        <f t="shared" si="219"/>
        <v>0.56989247311827951</v>
      </c>
      <c r="AX156" s="179">
        <f t="shared" si="245"/>
        <v>2.5555555555555558</v>
      </c>
      <c r="AY156" s="179">
        <f t="shared" si="246"/>
        <v>0.48218029350104835</v>
      </c>
      <c r="AZ156" s="179">
        <f t="shared" si="250"/>
        <v>5.2999999999999989</v>
      </c>
      <c r="BA156" s="472">
        <f t="shared" si="243"/>
        <v>17.189727463312373</v>
      </c>
      <c r="BB156" s="6">
        <f t="shared" si="244"/>
        <v>0.25025808675914823</v>
      </c>
      <c r="BD156" s="179">
        <f t="shared" si="251"/>
        <v>0.32574442249389141</v>
      </c>
      <c r="BE156" s="179">
        <f t="shared" si="247"/>
        <v>0.84896601219739476</v>
      </c>
      <c r="BG156" s="546">
        <f t="shared" si="222"/>
        <v>3.7138300075057584E-2</v>
      </c>
      <c r="BH156" s="546">
        <f t="shared" si="223"/>
        <v>4.7699999999999985E-2</v>
      </c>
      <c r="BI156" s="546">
        <f t="shared" si="224"/>
        <v>3.8126046238067222E-3</v>
      </c>
      <c r="BJ156" s="546">
        <f t="shared" si="225"/>
        <v>1.1871078260869564E-2</v>
      </c>
      <c r="BK156">
        <f t="shared" si="226"/>
        <v>3.48E-3</v>
      </c>
      <c r="BL156"/>
      <c r="BM156" s="472">
        <f t="shared" si="227"/>
        <v>104.00198295973387</v>
      </c>
      <c r="BN156" s="546">
        <f t="shared" si="228"/>
        <v>0.18400000000000002</v>
      </c>
      <c r="BQ156" s="472">
        <f t="shared" si="229"/>
        <v>184.00000000000003</v>
      </c>
      <c r="BR156" s="546">
        <f t="shared" si="230"/>
        <v>2.1221885757175766E-2</v>
      </c>
      <c r="BS156" s="546">
        <f t="shared" si="231"/>
        <v>2.8829731594653882E-2</v>
      </c>
      <c r="BT156" s="546">
        <f t="shared" si="232"/>
        <v>3.9228552675452749E-2</v>
      </c>
      <c r="BU156" s="546"/>
      <c r="BV156" s="546">
        <f t="shared" si="233"/>
        <v>1.7037037037037038E-2</v>
      </c>
      <c r="BW156" s="472">
        <f t="shared" si="234"/>
        <v>106.31720706431943</v>
      </c>
      <c r="BX156" s="179">
        <f t="shared" si="235"/>
        <v>0.3943191900240533</v>
      </c>
      <c r="BY156" s="6">
        <f t="shared" si="236"/>
        <v>2.3000000000000003</v>
      </c>
      <c r="BZ156" s="179">
        <f t="shared" si="237"/>
        <v>0.85364793025115449</v>
      </c>
      <c r="CA156" s="6">
        <f t="shared" si="238"/>
        <v>85.364793025115446</v>
      </c>
      <c r="CD156" s="581">
        <f t="shared" si="280"/>
        <v>-50</v>
      </c>
      <c r="CE156">
        <f t="shared" si="281"/>
        <v>-50</v>
      </c>
    </row>
    <row r="157" spans="5:83" x14ac:dyDescent="0.2">
      <c r="E157" s="176">
        <v>47</v>
      </c>
      <c r="F157" s="223">
        <f t="shared" si="282"/>
        <v>0.47</v>
      </c>
      <c r="G157" s="223"/>
      <c r="H157" s="223">
        <f t="shared" si="252"/>
        <v>2.3499999999999996</v>
      </c>
      <c r="I157" s="559">
        <f t="shared" si="253"/>
        <v>12</v>
      </c>
      <c r="J157" s="454">
        <f t="shared" si="254"/>
        <v>15.899999999999999</v>
      </c>
      <c r="K157" s="454">
        <f t="shared" si="255"/>
        <v>27.9</v>
      </c>
      <c r="L157" s="454"/>
      <c r="M157" s="223">
        <f t="shared" si="256"/>
        <v>0.56989247311827951</v>
      </c>
      <c r="N157" s="178">
        <f t="shared" si="257"/>
        <v>4.6161290322580646</v>
      </c>
      <c r="O157" s="178">
        <f t="shared" si="248"/>
        <v>2.3499999999999996</v>
      </c>
      <c r="P157" s="223">
        <f t="shared" si="258"/>
        <v>0.9232258064516129</v>
      </c>
      <c r="Q157" s="223">
        <f t="shared" si="259"/>
        <v>5</v>
      </c>
      <c r="R157" s="223"/>
      <c r="S157" s="178">
        <f t="shared" si="260"/>
        <v>13.322134474632634</v>
      </c>
      <c r="T157" s="178">
        <f t="shared" si="261"/>
        <v>5</v>
      </c>
      <c r="U157" s="223">
        <f t="shared" si="262"/>
        <v>0.76362683438155132</v>
      </c>
      <c r="V157" s="223">
        <f t="shared" si="263"/>
        <v>1.9090670859538781</v>
      </c>
      <c r="W157" s="223">
        <f t="shared" si="264"/>
        <v>1.4408053478897196</v>
      </c>
      <c r="X157" s="203">
        <f t="shared" si="265"/>
        <v>350</v>
      </c>
      <c r="Y157" s="454">
        <f t="shared" si="203"/>
        <v>298.51883011933495</v>
      </c>
      <c r="AA157" s="223">
        <f t="shared" si="266"/>
        <v>0.65130568356374818</v>
      </c>
      <c r="AB157" s="179">
        <f t="shared" si="267"/>
        <v>1.2288786482334872</v>
      </c>
      <c r="AC157" s="179">
        <f t="shared" si="268"/>
        <v>0.42019721520241832</v>
      </c>
      <c r="AD157" s="179"/>
      <c r="AE157" s="179">
        <f t="shared" si="269"/>
        <v>0.5660377358490567</v>
      </c>
      <c r="AF157" s="563">
        <f t="shared" si="270"/>
        <v>1845.1851851851848</v>
      </c>
      <c r="AG157" s="546">
        <f t="shared" si="271"/>
        <v>8.9150943396226423E-2</v>
      </c>
      <c r="AI157" s="179">
        <f t="shared" si="272"/>
        <v>0.68882232141256161</v>
      </c>
      <c r="AJ157" s="179">
        <f t="shared" si="273"/>
        <v>0.76362683438155132</v>
      </c>
      <c r="AK157" s="179">
        <f t="shared" si="274"/>
        <v>1.5434272847270751</v>
      </c>
      <c r="AM157" s="563">
        <f t="shared" si="275"/>
        <v>470</v>
      </c>
      <c r="AN157" s="472">
        <f t="shared" si="276"/>
        <v>298.51883011933495</v>
      </c>
      <c r="AP157">
        <f t="shared" si="277"/>
        <v>470</v>
      </c>
      <c r="AQ157">
        <f t="shared" si="278"/>
        <v>298.51883011933495</v>
      </c>
      <c r="AS157" s="6">
        <f t="shared" si="249"/>
        <v>3.3498724338435975</v>
      </c>
      <c r="AT157" s="6">
        <f t="shared" si="279"/>
        <v>1.9090670859538781</v>
      </c>
      <c r="AU157" s="6">
        <f t="shared" si="218"/>
        <v>1.4408053478897194</v>
      </c>
      <c r="AV157" s="6"/>
      <c r="AW157" s="179">
        <f t="shared" si="219"/>
        <v>0.56989247311827951</v>
      </c>
      <c r="AX157" s="179">
        <f t="shared" si="245"/>
        <v>2.6111111111111112</v>
      </c>
      <c r="AY157" s="179">
        <f t="shared" si="246"/>
        <v>0.4926624737945493</v>
      </c>
      <c r="AZ157" s="179">
        <f t="shared" si="250"/>
        <v>5.3</v>
      </c>
      <c r="BA157" s="472">
        <f t="shared" si="243"/>
        <v>17.945230607966455</v>
      </c>
      <c r="BB157" s="6">
        <f t="shared" si="244"/>
        <v>0.26125714255716354</v>
      </c>
      <c r="BD157" s="179">
        <f t="shared" si="251"/>
        <v>0.33282582298288899</v>
      </c>
      <c r="BE157" s="179">
        <f t="shared" si="247"/>
        <v>0.86742179507125106</v>
      </c>
      <c r="BG157" s="546">
        <f t="shared" si="222"/>
        <v>3.8770559955483071E-2</v>
      </c>
      <c r="BH157" s="546">
        <f t="shared" si="223"/>
        <v>4.7699999999999992E-2</v>
      </c>
      <c r="BI157" s="546">
        <f t="shared" si="224"/>
        <v>3.7314853764916864E-3</v>
      </c>
      <c r="BJ157" s="546">
        <f t="shared" si="225"/>
        <v>1.1618502127659575E-2</v>
      </c>
      <c r="BK157">
        <f t="shared" si="226"/>
        <v>3.48E-3</v>
      </c>
      <c r="BM157" s="472">
        <f t="shared" si="227"/>
        <v>105.30054745963433</v>
      </c>
      <c r="BN157" s="546">
        <f t="shared" si="228"/>
        <v>0.188</v>
      </c>
      <c r="BQ157" s="472">
        <f t="shared" si="229"/>
        <v>188</v>
      </c>
      <c r="BR157" s="546">
        <f t="shared" si="230"/>
        <v>2.2154605688847473E-2</v>
      </c>
      <c r="BS157" s="546">
        <f t="shared" si="231"/>
        <v>3.0096822822585256E-2</v>
      </c>
      <c r="BT157" s="546">
        <f t="shared" si="232"/>
        <v>3.9228552675452777E-2</v>
      </c>
      <c r="BU157" s="546"/>
      <c r="BV157" s="546">
        <f t="shared" si="233"/>
        <v>1.740740740740741E-2</v>
      </c>
      <c r="BW157" s="472">
        <f t="shared" si="234"/>
        <v>108.88738859429293</v>
      </c>
      <c r="BX157" s="179">
        <f t="shared" si="235"/>
        <v>0.40218793605392722</v>
      </c>
      <c r="BY157" s="6">
        <f t="shared" si="236"/>
        <v>2.3499999999999996</v>
      </c>
      <c r="BZ157" s="179">
        <f t="shared" si="237"/>
        <v>0.85386610747571901</v>
      </c>
      <c r="CA157" s="6">
        <f t="shared" si="238"/>
        <v>85.386610747571893</v>
      </c>
      <c r="CD157" s="581">
        <f t="shared" si="280"/>
        <v>-50</v>
      </c>
      <c r="CE157">
        <f t="shared" si="281"/>
        <v>-50</v>
      </c>
    </row>
    <row r="158" spans="5:83" x14ac:dyDescent="0.2">
      <c r="E158" s="176">
        <v>48</v>
      </c>
      <c r="F158" s="223">
        <f t="shared" si="282"/>
        <v>0.48</v>
      </c>
      <c r="G158" s="223"/>
      <c r="H158" s="223">
        <f t="shared" si="252"/>
        <v>2.4</v>
      </c>
      <c r="I158" s="559">
        <f t="shared" si="253"/>
        <v>12</v>
      </c>
      <c r="J158" s="454">
        <f t="shared" si="254"/>
        <v>15.899999999999999</v>
      </c>
      <c r="K158" s="454">
        <f t="shared" si="255"/>
        <v>27.9</v>
      </c>
      <c r="L158" s="454"/>
      <c r="M158" s="223">
        <f t="shared" si="256"/>
        <v>0.56989247311827951</v>
      </c>
      <c r="N158" s="178">
        <f t="shared" si="257"/>
        <v>4.6161290322580646</v>
      </c>
      <c r="O158" s="178">
        <f t="shared" si="248"/>
        <v>2.4</v>
      </c>
      <c r="P158" s="223">
        <f t="shared" si="258"/>
        <v>0.9232258064516129</v>
      </c>
      <c r="Q158" s="223">
        <f t="shared" si="259"/>
        <v>5</v>
      </c>
      <c r="R158" s="223"/>
      <c r="S158" s="178">
        <f t="shared" si="260"/>
        <v>12.965460485807025</v>
      </c>
      <c r="T158" s="178">
        <f t="shared" si="261"/>
        <v>5</v>
      </c>
      <c r="U158" s="223">
        <f t="shared" si="262"/>
        <v>0.77987421383647804</v>
      </c>
      <c r="V158" s="223">
        <f t="shared" si="263"/>
        <v>1.9496855345911952</v>
      </c>
      <c r="W158" s="223">
        <f t="shared" si="264"/>
        <v>1.4714607808235438</v>
      </c>
      <c r="X158" s="203">
        <f t="shared" si="265"/>
        <v>350</v>
      </c>
      <c r="Y158" s="454">
        <f t="shared" si="203"/>
        <v>292.29968782518205</v>
      </c>
      <c r="AA158" s="223">
        <f t="shared" si="266"/>
        <v>0.65130568356374818</v>
      </c>
      <c r="AB158" s="179">
        <f t="shared" si="267"/>
        <v>1.2288786482334872</v>
      </c>
      <c r="AC158" s="179">
        <f t="shared" si="268"/>
        <v>0.42019721520241832</v>
      </c>
      <c r="AD158" s="179"/>
      <c r="AE158" s="179">
        <f t="shared" si="269"/>
        <v>0.5660377358490567</v>
      </c>
      <c r="AF158" s="563">
        <f t="shared" si="270"/>
        <v>1884.4444444444441</v>
      </c>
      <c r="AG158" s="546">
        <f t="shared" si="271"/>
        <v>8.9150943396226423E-2</v>
      </c>
      <c r="AI158" s="179">
        <f t="shared" si="272"/>
        <v>0.69611164950130555</v>
      </c>
      <c r="AJ158" s="179">
        <f t="shared" si="273"/>
        <v>0.77987421383647804</v>
      </c>
      <c r="AK158" s="179">
        <f t="shared" si="274"/>
        <v>1.5554623806196133</v>
      </c>
      <c r="AM158" s="563">
        <f t="shared" si="275"/>
        <v>480</v>
      </c>
      <c r="AN158" s="472">
        <f t="shared" si="276"/>
        <v>292.29968782518205</v>
      </c>
      <c r="AP158">
        <f t="shared" si="277"/>
        <v>480</v>
      </c>
      <c r="AQ158">
        <f t="shared" si="278"/>
        <v>292.29968782518205</v>
      </c>
      <c r="AS158" s="6">
        <f t="shared" si="249"/>
        <v>3.421146315414739</v>
      </c>
      <c r="AT158" s="6">
        <f t="shared" si="279"/>
        <v>1.9496855345911952</v>
      </c>
      <c r="AU158" s="6">
        <f t="shared" si="218"/>
        <v>1.4714607808235438</v>
      </c>
      <c r="AV158" s="6"/>
      <c r="AW158" s="179">
        <f t="shared" si="219"/>
        <v>0.56989247311827951</v>
      </c>
      <c r="AX158" s="179">
        <f t="shared" si="245"/>
        <v>2.6666666666666665</v>
      </c>
      <c r="AY158" s="179">
        <f t="shared" si="246"/>
        <v>0.50314465408805042</v>
      </c>
      <c r="AZ158" s="179">
        <f t="shared" si="250"/>
        <v>5.2999999999999989</v>
      </c>
      <c r="BA158" s="472">
        <f t="shared" si="243"/>
        <v>18.716981132075471</v>
      </c>
      <c r="BB158" s="6">
        <f t="shared" si="244"/>
        <v>0.27249273718954509</v>
      </c>
      <c r="BD158" s="179">
        <f t="shared" si="251"/>
        <v>0.33990722347188668</v>
      </c>
      <c r="BE158" s="179">
        <f t="shared" si="247"/>
        <v>0.88587757794510757</v>
      </c>
      <c r="BG158" s="546">
        <f t="shared" si="222"/>
        <v>4.0437922198928486E-2</v>
      </c>
      <c r="BH158" s="546">
        <f t="shared" si="223"/>
        <v>4.7699999999999985E-2</v>
      </c>
      <c r="BI158" s="546">
        <f t="shared" si="224"/>
        <v>3.6537460978147756E-3</v>
      </c>
      <c r="BJ158" s="546">
        <f t="shared" si="225"/>
        <v>1.1376449999999998E-2</v>
      </c>
      <c r="BK158">
        <f t="shared" si="226"/>
        <v>3.48E-3</v>
      </c>
      <c r="BM158" s="472">
        <f t="shared" si="227"/>
        <v>106.64811829674322</v>
      </c>
      <c r="BN158" s="546">
        <f t="shared" si="228"/>
        <v>0.192</v>
      </c>
      <c r="BQ158" s="472">
        <f t="shared" si="229"/>
        <v>192</v>
      </c>
      <c r="BR158" s="546">
        <f t="shared" si="230"/>
        <v>2.3107384113673423E-2</v>
      </c>
      <c r="BS158" s="546">
        <f t="shared" si="231"/>
        <v>3.139116332423561E-2</v>
      </c>
      <c r="BT158" s="546">
        <f t="shared" si="232"/>
        <v>3.9228552675452846E-2</v>
      </c>
      <c r="BU158" s="546"/>
      <c r="BV158" s="546">
        <f t="shared" si="233"/>
        <v>1.7777777777777781E-2</v>
      </c>
      <c r="BW158" s="472">
        <f t="shared" si="234"/>
        <v>111.50487789113967</v>
      </c>
      <c r="BX158" s="179">
        <f t="shared" si="235"/>
        <v>0.41015299618788287</v>
      </c>
      <c r="BY158" s="6">
        <f t="shared" si="236"/>
        <v>2.4</v>
      </c>
      <c r="BZ158" s="179">
        <f t="shared" si="237"/>
        <v>0.85404602641056315</v>
      </c>
      <c r="CA158" s="6">
        <f t="shared" si="238"/>
        <v>85.404602641056314</v>
      </c>
      <c r="CD158" s="581">
        <f t="shared" si="280"/>
        <v>-50</v>
      </c>
      <c r="CE158">
        <f t="shared" si="281"/>
        <v>-50</v>
      </c>
    </row>
    <row r="159" spans="5:83" x14ac:dyDescent="0.2">
      <c r="E159" s="176">
        <v>49</v>
      </c>
      <c r="F159" s="223">
        <f t="shared" si="282"/>
        <v>0.49</v>
      </c>
      <c r="G159" s="223"/>
      <c r="H159" s="223">
        <f t="shared" si="252"/>
        <v>2.4500000000000002</v>
      </c>
      <c r="I159" s="559">
        <f t="shared" si="253"/>
        <v>12</v>
      </c>
      <c r="J159" s="454">
        <f t="shared" si="254"/>
        <v>15.899999999999999</v>
      </c>
      <c r="K159" s="454">
        <f t="shared" si="255"/>
        <v>27.9</v>
      </c>
      <c r="L159" s="454"/>
      <c r="M159" s="223">
        <f t="shared" si="256"/>
        <v>0.56989247311827951</v>
      </c>
      <c r="N159" s="178">
        <f t="shared" si="257"/>
        <v>4.6161290322580646</v>
      </c>
      <c r="O159" s="178">
        <f t="shared" si="248"/>
        <v>2.4500000000000002</v>
      </c>
      <c r="P159" s="223">
        <f t="shared" si="258"/>
        <v>0.9232258064516129</v>
      </c>
      <c r="Q159" s="223">
        <f t="shared" si="259"/>
        <v>5</v>
      </c>
      <c r="R159" s="223"/>
      <c r="S159" s="178">
        <f t="shared" si="260"/>
        <v>12.623466587951606</v>
      </c>
      <c r="T159" s="178">
        <f t="shared" si="261"/>
        <v>5</v>
      </c>
      <c r="U159" s="223">
        <f t="shared" si="262"/>
        <v>0.79612159329140475</v>
      </c>
      <c r="V159" s="223">
        <f t="shared" si="263"/>
        <v>1.9903039832285121</v>
      </c>
      <c r="W159" s="223">
        <f t="shared" si="264"/>
        <v>1.5021162137573676</v>
      </c>
      <c r="X159" s="203">
        <f t="shared" si="265"/>
        <v>350</v>
      </c>
      <c r="Y159" s="454">
        <f t="shared" si="203"/>
        <v>286.33438807364769</v>
      </c>
      <c r="AA159" s="223">
        <f t="shared" si="266"/>
        <v>0.65130568356374818</v>
      </c>
      <c r="AB159" s="179">
        <f t="shared" si="267"/>
        <v>1.2288786482334872</v>
      </c>
      <c r="AC159" s="179">
        <f t="shared" si="268"/>
        <v>0.42019721520241832</v>
      </c>
      <c r="AD159" s="179"/>
      <c r="AE159" s="179">
        <f t="shared" si="269"/>
        <v>0.5660377358490567</v>
      </c>
      <c r="AF159" s="563">
        <f t="shared" si="270"/>
        <v>1923.7037037037035</v>
      </c>
      <c r="AG159" s="546">
        <f t="shared" si="271"/>
        <v>8.9150943396226423E-2</v>
      </c>
      <c r="AI159" s="179">
        <f t="shared" si="272"/>
        <v>0.70332543439482309</v>
      </c>
      <c r="AJ159" s="179">
        <f t="shared" si="273"/>
        <v>0.79612159329140475</v>
      </c>
      <c r="AK159" s="179">
        <f t="shared" si="274"/>
        <v>1.5674974765121517</v>
      </c>
      <c r="AM159" s="563">
        <f t="shared" si="275"/>
        <v>490</v>
      </c>
      <c r="AN159" s="472">
        <f t="shared" si="276"/>
        <v>286.33438807364769</v>
      </c>
      <c r="AP159">
        <f t="shared" si="277"/>
        <v>490</v>
      </c>
      <c r="AQ159">
        <f t="shared" si="278"/>
        <v>286.33438807364769</v>
      </c>
      <c r="AS159" s="6">
        <f t="shared" si="249"/>
        <v>3.4924201969858797</v>
      </c>
      <c r="AT159" s="6">
        <f t="shared" si="279"/>
        <v>1.9903039832285121</v>
      </c>
      <c r="AU159" s="6">
        <f t="shared" si="218"/>
        <v>1.5021162137573676</v>
      </c>
      <c r="AV159" s="6"/>
      <c r="AW159" s="179">
        <f t="shared" si="219"/>
        <v>0.56989247311827962</v>
      </c>
      <c r="AX159" s="179">
        <f t="shared" si="245"/>
        <v>2.7222222222222223</v>
      </c>
      <c r="AY159" s="179">
        <f t="shared" si="246"/>
        <v>0.51362683438155143</v>
      </c>
      <c r="AZ159" s="179">
        <f t="shared" si="250"/>
        <v>5.3</v>
      </c>
      <c r="BA159" s="472">
        <f t="shared" si="243"/>
        <v>19.504979035639415</v>
      </c>
      <c r="BB159" s="6">
        <f t="shared" si="244"/>
        <v>0.28396487065629245</v>
      </c>
      <c r="BD159" s="179">
        <f t="shared" si="251"/>
        <v>0.34698862396088442</v>
      </c>
      <c r="BE159" s="179">
        <f t="shared" si="247"/>
        <v>0.90433336081896387</v>
      </c>
      <c r="BG159" s="546">
        <f t="shared" si="222"/>
        <v>4.2140386805393816E-2</v>
      </c>
      <c r="BH159" s="546">
        <f t="shared" si="223"/>
        <v>4.7699999999999985E-2</v>
      </c>
      <c r="BI159" s="546">
        <f t="shared" si="224"/>
        <v>3.5791798509205962E-3</v>
      </c>
      <c r="BJ159" s="546">
        <f t="shared" si="225"/>
        <v>1.1144277551020406E-2</v>
      </c>
      <c r="BK159">
        <f t="shared" si="226"/>
        <v>3.48E-3</v>
      </c>
      <c r="BM159" s="472">
        <f t="shared" si="227"/>
        <v>108.0438442073348</v>
      </c>
      <c r="BN159" s="546">
        <f t="shared" si="228"/>
        <v>0.19600000000000001</v>
      </c>
      <c r="BQ159" s="472">
        <f t="shared" si="229"/>
        <v>196</v>
      </c>
      <c r="BR159" s="546">
        <f t="shared" si="230"/>
        <v>2.4080221031653613E-2</v>
      </c>
      <c r="BS159" s="546">
        <f t="shared" si="231"/>
        <v>3.2712753099604891E-2</v>
      </c>
      <c r="BT159" s="546">
        <f t="shared" si="232"/>
        <v>3.9228552675452846E-2</v>
      </c>
      <c r="BU159" s="546"/>
      <c r="BV159" s="546">
        <f t="shared" si="233"/>
        <v>1.8148148148148146E-2</v>
      </c>
      <c r="BW159" s="472">
        <f t="shared" si="234"/>
        <v>114.1696749548595</v>
      </c>
      <c r="BX159" s="179">
        <f t="shared" si="235"/>
        <v>0.41821351916219435</v>
      </c>
      <c r="BY159" s="6">
        <f t="shared" si="236"/>
        <v>2.4500000000000002</v>
      </c>
      <c r="BZ159" s="179">
        <f t="shared" si="237"/>
        <v>0.85419024198576587</v>
      </c>
      <c r="CA159" s="6">
        <f t="shared" si="238"/>
        <v>85.419024198576594</v>
      </c>
      <c r="CD159" s="581">
        <f t="shared" si="280"/>
        <v>-50</v>
      </c>
      <c r="CE159">
        <f t="shared" si="281"/>
        <v>-50</v>
      </c>
    </row>
    <row r="160" spans="5:83" x14ac:dyDescent="0.2">
      <c r="E160" s="176">
        <v>50</v>
      </c>
      <c r="F160" s="223">
        <f t="shared" si="282"/>
        <v>0.5</v>
      </c>
      <c r="G160" s="223"/>
      <c r="H160" s="223">
        <f t="shared" si="252"/>
        <v>2.5</v>
      </c>
      <c r="I160" s="559">
        <f t="shared" si="253"/>
        <v>12</v>
      </c>
      <c r="J160" s="454">
        <f t="shared" si="254"/>
        <v>15.899999999999999</v>
      </c>
      <c r="K160" s="454">
        <f t="shared" si="255"/>
        <v>27.9</v>
      </c>
      <c r="L160" s="454"/>
      <c r="M160" s="223">
        <f t="shared" si="256"/>
        <v>0.56989247311827951</v>
      </c>
      <c r="N160" s="178">
        <f t="shared" si="257"/>
        <v>4.6161290322580646</v>
      </c>
      <c r="O160" s="178">
        <f t="shared" si="248"/>
        <v>2.5</v>
      </c>
      <c r="P160" s="223">
        <f t="shared" si="258"/>
        <v>0.9232258064516129</v>
      </c>
      <c r="Q160" s="223">
        <f t="shared" si="259"/>
        <v>5</v>
      </c>
      <c r="R160" s="223"/>
      <c r="S160" s="178">
        <f t="shared" si="260"/>
        <v>12.295273831758562</v>
      </c>
      <c r="T160" s="178">
        <f t="shared" si="261"/>
        <v>5</v>
      </c>
      <c r="U160" s="223">
        <f t="shared" si="262"/>
        <v>0.81236897274633135</v>
      </c>
      <c r="V160" s="223">
        <f t="shared" si="263"/>
        <v>2.0309224318658283</v>
      </c>
      <c r="W160" s="223">
        <f t="shared" si="264"/>
        <v>1.5327716466911914</v>
      </c>
      <c r="X160" s="203">
        <f t="shared" si="265"/>
        <v>350</v>
      </c>
      <c r="Y160" s="454">
        <f t="shared" si="203"/>
        <v>280.60770031217481</v>
      </c>
      <c r="AA160" s="223">
        <f t="shared" si="266"/>
        <v>0.65130568356374818</v>
      </c>
      <c r="AB160" s="179">
        <f t="shared" si="267"/>
        <v>1.2288786482334872</v>
      </c>
      <c r="AC160" s="179">
        <f t="shared" si="268"/>
        <v>0.42019721520241832</v>
      </c>
      <c r="AD160" s="179"/>
      <c r="AE160" s="179">
        <f t="shared" si="269"/>
        <v>0.5660377358490567</v>
      </c>
      <c r="AF160" s="563">
        <f t="shared" si="270"/>
        <v>1962.9629629629626</v>
      </c>
      <c r="AG160" s="546">
        <f t="shared" si="271"/>
        <v>8.9150943396226423E-2</v>
      </c>
      <c r="AI160" s="179">
        <f t="shared" si="272"/>
        <v>0.7104659772022196</v>
      </c>
      <c r="AJ160" s="179">
        <f t="shared" si="273"/>
        <v>0.81236897274633135</v>
      </c>
      <c r="AK160" s="179">
        <f t="shared" si="274"/>
        <v>1.5795325724046898</v>
      </c>
      <c r="AM160" s="563">
        <f t="shared" si="275"/>
        <v>500</v>
      </c>
      <c r="AN160" s="472">
        <f t="shared" si="276"/>
        <v>280.60770031217481</v>
      </c>
      <c r="AP160">
        <f t="shared" si="277"/>
        <v>500</v>
      </c>
      <c r="AQ160">
        <f t="shared" si="278"/>
        <v>280.60770031217481</v>
      </c>
      <c r="AS160" s="6">
        <f t="shared" si="249"/>
        <v>3.563694078557019</v>
      </c>
      <c r="AT160" s="6">
        <f t="shared" si="279"/>
        <v>2.0309224318658283</v>
      </c>
      <c r="AU160" s="6">
        <f t="shared" si="218"/>
        <v>1.5327716466911907</v>
      </c>
      <c r="AV160" s="6"/>
      <c r="AW160" s="179">
        <f t="shared" si="219"/>
        <v>0.56989247311827962</v>
      </c>
      <c r="AX160" s="179">
        <f t="shared" si="245"/>
        <v>2.7777777777777786</v>
      </c>
      <c r="AY160" s="179">
        <f t="shared" si="246"/>
        <v>0.52410901467505244</v>
      </c>
      <c r="AZ160" s="179">
        <f t="shared" si="250"/>
        <v>5.3000000000000016</v>
      </c>
      <c r="BA160" s="472">
        <f t="shared" si="243"/>
        <v>20.309224318658284</v>
      </c>
      <c r="BB160" s="6">
        <f t="shared" si="244"/>
        <v>0.29567354295740556</v>
      </c>
      <c r="BD160" s="179">
        <f t="shared" si="251"/>
        <v>0.35407002444988206</v>
      </c>
      <c r="BE160" s="179">
        <f t="shared" si="247"/>
        <v>0.92278914369282028</v>
      </c>
      <c r="BG160" s="546">
        <f t="shared" si="222"/>
        <v>4.3877953774879026E-2</v>
      </c>
      <c r="BH160" s="546">
        <f t="shared" si="223"/>
        <v>4.7699999999999999E-2</v>
      </c>
      <c r="BI160" s="546">
        <f t="shared" si="224"/>
        <v>3.5075962539021848E-3</v>
      </c>
      <c r="BJ160" s="546">
        <f t="shared" si="225"/>
        <v>1.0921392E-2</v>
      </c>
      <c r="BK160">
        <f t="shared" si="226"/>
        <v>3.48E-3</v>
      </c>
      <c r="BM160" s="472">
        <f t="shared" si="227"/>
        <v>109.4869420287812</v>
      </c>
      <c r="BN160" s="546">
        <f t="shared" si="228"/>
        <v>0.2</v>
      </c>
      <c r="BQ160" s="472">
        <f t="shared" si="229"/>
        <v>200</v>
      </c>
      <c r="BR160" s="546">
        <f t="shared" si="230"/>
        <v>2.5073116442788021E-2</v>
      </c>
      <c r="BS160" s="546">
        <f t="shared" si="231"/>
        <v>3.4061592148693143E-2</v>
      </c>
      <c r="BT160" s="546">
        <f t="shared" si="232"/>
        <v>3.9228552675452839E-2</v>
      </c>
      <c r="BU160" s="546"/>
      <c r="BV160" s="546">
        <f t="shared" si="233"/>
        <v>1.8518518518518524E-2</v>
      </c>
      <c r="BW160" s="472">
        <f t="shared" si="234"/>
        <v>116.88177978545252</v>
      </c>
      <c r="BX160" s="179">
        <f t="shared" si="235"/>
        <v>0.4263687218142338</v>
      </c>
      <c r="BY160" s="6">
        <f t="shared" si="236"/>
        <v>2.5</v>
      </c>
      <c r="BZ160" s="179">
        <f t="shared" si="237"/>
        <v>0.8543010938314356</v>
      </c>
      <c r="CA160" s="6">
        <f t="shared" si="238"/>
        <v>85.430109383143559</v>
      </c>
      <c r="CD160" s="581">
        <f t="shared" si="280"/>
        <v>-50</v>
      </c>
      <c r="CE160">
        <f t="shared" si="281"/>
        <v>-50</v>
      </c>
    </row>
    <row r="161" spans="5:83" x14ac:dyDescent="0.2">
      <c r="E161" s="176">
        <v>51</v>
      </c>
      <c r="F161" s="223">
        <f t="shared" si="282"/>
        <v>0.51</v>
      </c>
      <c r="G161" s="223"/>
      <c r="H161" s="223">
        <f t="shared" si="252"/>
        <v>2.5499999999999998</v>
      </c>
      <c r="I161" s="559">
        <f t="shared" si="253"/>
        <v>12</v>
      </c>
      <c r="J161" s="454">
        <f t="shared" si="254"/>
        <v>15.899999999999999</v>
      </c>
      <c r="K161" s="454">
        <f t="shared" si="255"/>
        <v>27.9</v>
      </c>
      <c r="L161" s="454"/>
      <c r="M161" s="223">
        <f t="shared" si="256"/>
        <v>0.56989247311827951</v>
      </c>
      <c r="N161" s="178">
        <f t="shared" si="257"/>
        <v>4.6161290322580646</v>
      </c>
      <c r="O161" s="178">
        <f t="shared" si="248"/>
        <v>2.5499999999999998</v>
      </c>
      <c r="P161" s="223">
        <f t="shared" si="258"/>
        <v>0.9232258064516129</v>
      </c>
      <c r="Q161" s="223">
        <f t="shared" si="259"/>
        <v>5</v>
      </c>
      <c r="R161" s="223"/>
      <c r="S161" s="178">
        <f t="shared" si="260"/>
        <v>11.980072236057852</v>
      </c>
      <c r="T161" s="178">
        <f t="shared" si="261"/>
        <v>5</v>
      </c>
      <c r="U161" s="223">
        <f t="shared" si="262"/>
        <v>0.82861635220125784</v>
      </c>
      <c r="V161" s="223">
        <f t="shared" si="263"/>
        <v>2.0715408805031443</v>
      </c>
      <c r="W161" s="223">
        <f t="shared" si="264"/>
        <v>1.5634270796250149</v>
      </c>
      <c r="X161" s="203">
        <f t="shared" si="265"/>
        <v>350</v>
      </c>
      <c r="Y161" s="454">
        <f t="shared" si="203"/>
        <v>275.10558854134786</v>
      </c>
      <c r="AA161" s="223">
        <f t="shared" si="266"/>
        <v>0.65130568356374818</v>
      </c>
      <c r="AB161" s="179">
        <f t="shared" si="267"/>
        <v>1.2288786482334872</v>
      </c>
      <c r="AC161" s="179">
        <f t="shared" si="268"/>
        <v>0.42019721520241832</v>
      </c>
      <c r="AD161" s="179"/>
      <c r="AE161" s="179">
        <f t="shared" si="269"/>
        <v>0.5660377358490567</v>
      </c>
      <c r="AF161" s="563">
        <f t="shared" si="270"/>
        <v>2002.2222222222217</v>
      </c>
      <c r="AG161" s="546">
        <f t="shared" si="271"/>
        <v>8.9150943396226423E-2</v>
      </c>
      <c r="AI161" s="179">
        <f t="shared" si="272"/>
        <v>0.71753546452920558</v>
      </c>
      <c r="AJ161" s="179">
        <f t="shared" si="273"/>
        <v>0.82861635220125784</v>
      </c>
      <c r="AK161" s="179">
        <f t="shared" si="274"/>
        <v>1.591567668297228</v>
      </c>
      <c r="AM161" s="563">
        <f t="shared" si="275"/>
        <v>510</v>
      </c>
      <c r="AN161" s="472">
        <f t="shared" si="276"/>
        <v>275.10558854134786</v>
      </c>
      <c r="AP161">
        <f t="shared" si="277"/>
        <v>510</v>
      </c>
      <c r="AQ161">
        <f t="shared" si="278"/>
        <v>275.10558854134786</v>
      </c>
      <c r="AS161" s="6">
        <f t="shared" si="249"/>
        <v>3.6349679601281597</v>
      </c>
      <c r="AT161" s="6">
        <f t="shared" si="279"/>
        <v>2.0715408805031443</v>
      </c>
      <c r="AU161" s="6">
        <f t="shared" si="218"/>
        <v>1.5634270796250154</v>
      </c>
      <c r="AV161" s="6"/>
      <c r="AW161" s="179">
        <f t="shared" si="219"/>
        <v>0.5698924731182794</v>
      </c>
      <c r="AX161" s="179">
        <f t="shared" si="245"/>
        <v>2.833333333333333</v>
      </c>
      <c r="AY161" s="179">
        <f t="shared" si="246"/>
        <v>0.53459119496855367</v>
      </c>
      <c r="AZ161" s="179">
        <f t="shared" si="250"/>
        <v>5.2999999999999972</v>
      </c>
      <c r="BA161" s="472">
        <f t="shared" si="243"/>
        <v>21.12971698113207</v>
      </c>
      <c r="BB161" s="6">
        <f t="shared" si="244"/>
        <v>0.30761875409288486</v>
      </c>
      <c r="BD161" s="179">
        <f t="shared" si="251"/>
        <v>0.36115142493887953</v>
      </c>
      <c r="BE161" s="179">
        <f t="shared" si="247"/>
        <v>0.94124492656667669</v>
      </c>
      <c r="BG161" s="546">
        <f t="shared" si="222"/>
        <v>4.5650623107384096E-2</v>
      </c>
      <c r="BH161" s="546">
        <f t="shared" si="223"/>
        <v>4.7699999999999992E-2</v>
      </c>
      <c r="BI161" s="546">
        <f t="shared" si="224"/>
        <v>3.4388198567668481E-3</v>
      </c>
      <c r="BJ161" s="546">
        <f t="shared" si="225"/>
        <v>1.0707247058823529E-2</v>
      </c>
      <c r="BK161">
        <f t="shared" si="226"/>
        <v>3.48E-3</v>
      </c>
      <c r="BM161" s="472">
        <f t="shared" si="227"/>
        <v>110.97669002297447</v>
      </c>
      <c r="BN161" s="546">
        <f t="shared" si="228"/>
        <v>0.20400000000000001</v>
      </c>
      <c r="BQ161" s="472">
        <f t="shared" si="229"/>
        <v>204.00000000000003</v>
      </c>
      <c r="BR161" s="546">
        <f t="shared" si="230"/>
        <v>2.6086070347076631E-2</v>
      </c>
      <c r="BS161" s="546">
        <f t="shared" si="231"/>
        <v>3.5437680471500345E-2</v>
      </c>
      <c r="BT161" s="546">
        <f t="shared" si="232"/>
        <v>3.9228552675452812E-2</v>
      </c>
      <c r="BU161" s="546"/>
      <c r="BV161" s="546">
        <f t="shared" si="233"/>
        <v>1.8888888888888889E-2</v>
      </c>
      <c r="BW161" s="472">
        <f t="shared" si="234"/>
        <v>119.64119238291866</v>
      </c>
      <c r="BX161" s="179">
        <f t="shared" si="235"/>
        <v>0.43461788240589316</v>
      </c>
      <c r="BY161" s="6">
        <f t="shared" si="236"/>
        <v>2.5499999999999998</v>
      </c>
      <c r="BZ161" s="179">
        <f t="shared" si="237"/>
        <v>0.85438072827750111</v>
      </c>
      <c r="CA161" s="6">
        <f t="shared" si="238"/>
        <v>85.438072827750105</v>
      </c>
      <c r="CD161" s="581">
        <f t="shared" si="280"/>
        <v>-50</v>
      </c>
      <c r="CE161">
        <f t="shared" si="281"/>
        <v>-50</v>
      </c>
    </row>
    <row r="162" spans="5:83" x14ac:dyDescent="0.2">
      <c r="E162" s="176">
        <v>52</v>
      </c>
      <c r="F162" s="223">
        <f t="shared" si="282"/>
        <v>0.52</v>
      </c>
      <c r="G162" s="223"/>
      <c r="H162" s="223">
        <f t="shared" si="252"/>
        <v>2.6</v>
      </c>
      <c r="I162" s="559">
        <f t="shared" si="253"/>
        <v>12</v>
      </c>
      <c r="J162" s="454">
        <f t="shared" si="254"/>
        <v>15.899999999999999</v>
      </c>
      <c r="K162" s="454">
        <f t="shared" si="255"/>
        <v>27.9</v>
      </c>
      <c r="L162" s="454"/>
      <c r="M162" s="223">
        <f t="shared" si="256"/>
        <v>0.56989247311827951</v>
      </c>
      <c r="N162" s="178">
        <f t="shared" si="257"/>
        <v>4.6161290322580646</v>
      </c>
      <c r="O162" s="178">
        <f t="shared" si="248"/>
        <v>2.6</v>
      </c>
      <c r="P162" s="223">
        <f t="shared" si="258"/>
        <v>0.9232258064516129</v>
      </c>
      <c r="Q162" s="223">
        <f t="shared" si="259"/>
        <v>5</v>
      </c>
      <c r="R162" s="223"/>
      <c r="S162" s="178">
        <f t="shared" si="260"/>
        <v>11.677114156702379</v>
      </c>
      <c r="T162" s="178">
        <f t="shared" si="261"/>
        <v>5</v>
      </c>
      <c r="U162" s="223">
        <f t="shared" si="262"/>
        <v>0.84486373165618456</v>
      </c>
      <c r="V162" s="223">
        <f t="shared" si="263"/>
        <v>2.1121593291404612</v>
      </c>
      <c r="W162" s="223">
        <f t="shared" si="264"/>
        <v>1.5940825125588391</v>
      </c>
      <c r="X162" s="203">
        <f t="shared" si="265"/>
        <v>350</v>
      </c>
      <c r="Y162" s="454">
        <f t="shared" si="203"/>
        <v>269.81509645401417</v>
      </c>
      <c r="AA162" s="223">
        <f t="shared" si="266"/>
        <v>0.65130568356374818</v>
      </c>
      <c r="AB162" s="179">
        <f t="shared" si="267"/>
        <v>1.2288786482334872</v>
      </c>
      <c r="AC162" s="179">
        <f t="shared" si="268"/>
        <v>0.42019721520241832</v>
      </c>
      <c r="AD162" s="179"/>
      <c r="AE162" s="179">
        <f t="shared" si="269"/>
        <v>0.5660377358490567</v>
      </c>
      <c r="AF162" s="563">
        <f t="shared" si="270"/>
        <v>2041.4814814814811</v>
      </c>
      <c r="AG162" s="546">
        <f t="shared" si="271"/>
        <v>8.9150943396226423E-2</v>
      </c>
      <c r="AI162" s="179">
        <f t="shared" si="272"/>
        <v>0.72453597629957678</v>
      </c>
      <c r="AJ162" s="179">
        <f t="shared" si="273"/>
        <v>0.84486373165618456</v>
      </c>
      <c r="AK162" s="179">
        <f t="shared" si="274"/>
        <v>1.6036027641897663</v>
      </c>
      <c r="AM162" s="563">
        <f t="shared" si="275"/>
        <v>520</v>
      </c>
      <c r="AN162" s="472">
        <f t="shared" si="276"/>
        <v>269.81509645401417</v>
      </c>
      <c r="AP162">
        <f t="shared" si="277"/>
        <v>520</v>
      </c>
      <c r="AQ162">
        <f t="shared" si="278"/>
        <v>269.81509645401417</v>
      </c>
      <c r="AS162" s="6">
        <f t="shared" si="249"/>
        <v>3.7062418416993008</v>
      </c>
      <c r="AT162" s="6">
        <f t="shared" si="279"/>
        <v>2.1121593291404612</v>
      </c>
      <c r="AU162" s="6">
        <f t="shared" si="218"/>
        <v>1.5940825125588396</v>
      </c>
      <c r="AV162" s="6"/>
      <c r="AW162" s="179">
        <f t="shared" si="219"/>
        <v>0.5698924731182794</v>
      </c>
      <c r="AX162" s="179">
        <f t="shared" si="245"/>
        <v>2.8888888888888888</v>
      </c>
      <c r="AY162" s="179">
        <f t="shared" si="246"/>
        <v>0.54507337526205479</v>
      </c>
      <c r="AZ162" s="179">
        <f t="shared" si="250"/>
        <v>5.2999999999999972</v>
      </c>
      <c r="BA162" s="472">
        <f t="shared" si="243"/>
        <v>21.966457023060798</v>
      </c>
      <c r="BB162" s="6">
        <f t="shared" si="244"/>
        <v>0.31980050406273008</v>
      </c>
      <c r="BD162" s="179">
        <f t="shared" si="251"/>
        <v>0.36823282542787722</v>
      </c>
      <c r="BE162" s="179">
        <f t="shared" si="247"/>
        <v>0.9597007094405331</v>
      </c>
      <c r="BG162" s="546">
        <f t="shared" si="222"/>
        <v>4.7458394802909122E-2</v>
      </c>
      <c r="BH162" s="546">
        <f t="shared" si="223"/>
        <v>4.7699999999999985E-2</v>
      </c>
      <c r="BI162" s="546">
        <f t="shared" si="224"/>
        <v>3.3726887056751771E-3</v>
      </c>
      <c r="BJ162" s="546">
        <f t="shared" si="225"/>
        <v>1.0501338461538459E-2</v>
      </c>
      <c r="BK162">
        <f t="shared" si="226"/>
        <v>3.48E-3</v>
      </c>
      <c r="BM162" s="472">
        <f t="shared" si="227"/>
        <v>112.51242197012274</v>
      </c>
      <c r="BN162" s="546">
        <f t="shared" si="228"/>
        <v>0.20800000000000002</v>
      </c>
      <c r="BQ162" s="472">
        <f t="shared" si="229"/>
        <v>208.00000000000003</v>
      </c>
      <c r="BR162" s="546">
        <f t="shared" si="230"/>
        <v>2.7119082744519504E-2</v>
      </c>
      <c r="BS162" s="546">
        <f t="shared" si="231"/>
        <v>3.6841018068026504E-2</v>
      </c>
      <c r="BT162" s="546">
        <f t="shared" si="232"/>
        <v>3.9228552675452819E-2</v>
      </c>
      <c r="BU162" s="546"/>
      <c r="BV162" s="546">
        <f t="shared" si="233"/>
        <v>1.9259259259259261E-2</v>
      </c>
      <c r="BW162" s="472">
        <f t="shared" si="234"/>
        <v>122.44791274725809</v>
      </c>
      <c r="BX162" s="179">
        <f t="shared" si="235"/>
        <v>0.44296033471738083</v>
      </c>
      <c r="BY162" s="6">
        <f t="shared" si="236"/>
        <v>2.6</v>
      </c>
      <c r="BZ162" s="179">
        <f t="shared" si="237"/>
        <v>0.85443111772979408</v>
      </c>
      <c r="CA162" s="6">
        <f t="shared" si="238"/>
        <v>85.443111772979407</v>
      </c>
      <c r="CD162" s="581">
        <f t="shared" si="280"/>
        <v>-50</v>
      </c>
      <c r="CE162">
        <f t="shared" si="281"/>
        <v>-50</v>
      </c>
    </row>
    <row r="163" spans="5:83" x14ac:dyDescent="0.2">
      <c r="E163" s="176">
        <v>53</v>
      </c>
      <c r="F163" s="223">
        <f t="shared" si="282"/>
        <v>0.53</v>
      </c>
      <c r="G163" s="223"/>
      <c r="H163" s="223">
        <f t="shared" si="252"/>
        <v>2.6500000000000004</v>
      </c>
      <c r="I163" s="559">
        <f t="shared" si="253"/>
        <v>12</v>
      </c>
      <c r="J163" s="454">
        <f t="shared" si="254"/>
        <v>15.899999999999999</v>
      </c>
      <c r="K163" s="454">
        <f t="shared" si="255"/>
        <v>27.9</v>
      </c>
      <c r="L163" s="454"/>
      <c r="M163" s="223">
        <f t="shared" si="256"/>
        <v>0.56989247311827951</v>
      </c>
      <c r="N163" s="178">
        <f t="shared" si="257"/>
        <v>4.6161290322580646</v>
      </c>
      <c r="O163" s="178">
        <f t="shared" si="248"/>
        <v>2.6500000000000004</v>
      </c>
      <c r="P163" s="223">
        <f t="shared" si="258"/>
        <v>0.9232258064516129</v>
      </c>
      <c r="Q163" s="223">
        <f t="shared" si="259"/>
        <v>5</v>
      </c>
      <c r="R163" s="223"/>
      <c r="S163" s="178">
        <f t="shared" si="260"/>
        <v>11.385708406144481</v>
      </c>
      <c r="T163" s="178">
        <f t="shared" si="261"/>
        <v>5</v>
      </c>
      <c r="U163" s="223">
        <f t="shared" si="262"/>
        <v>0.86111111111111127</v>
      </c>
      <c r="V163" s="223">
        <f t="shared" si="263"/>
        <v>2.1527777777777786</v>
      </c>
      <c r="W163" s="223">
        <f t="shared" si="264"/>
        <v>1.6247379454926629</v>
      </c>
      <c r="X163" s="203">
        <f t="shared" si="265"/>
        <v>350</v>
      </c>
      <c r="Y163" s="454">
        <f t="shared" si="203"/>
        <v>264.72424557752333</v>
      </c>
      <c r="AA163" s="223">
        <f t="shared" si="266"/>
        <v>0.65130568356374818</v>
      </c>
      <c r="AB163" s="179">
        <f t="shared" si="267"/>
        <v>1.2288786482334872</v>
      </c>
      <c r="AC163" s="179">
        <f t="shared" si="268"/>
        <v>0.42019721520241832</v>
      </c>
      <c r="AD163" s="179"/>
      <c r="AE163" s="179">
        <f t="shared" si="269"/>
        <v>0.5660377358490567</v>
      </c>
      <c r="AF163" s="563">
        <f t="shared" si="270"/>
        <v>2080.7407407407404</v>
      </c>
      <c r="AG163" s="546">
        <f t="shared" si="271"/>
        <v>8.9150943396226423E-2</v>
      </c>
      <c r="AI163" s="179">
        <f t="shared" si="272"/>
        <v>0.73146949290289542</v>
      </c>
      <c r="AJ163" s="179">
        <f t="shared" si="273"/>
        <v>0.86111111111111127</v>
      </c>
      <c r="AK163" s="179">
        <f t="shared" si="274"/>
        <v>1.6156378600823047</v>
      </c>
      <c r="AM163" s="563">
        <f t="shared" si="275"/>
        <v>530</v>
      </c>
      <c r="AN163" s="472">
        <f t="shared" si="276"/>
        <v>264.72424557752333</v>
      </c>
      <c r="AP163">
        <f t="shared" si="277"/>
        <v>530</v>
      </c>
      <c r="AQ163">
        <f t="shared" si="278"/>
        <v>264.72424557752333</v>
      </c>
      <c r="AS163" s="6">
        <f t="shared" si="249"/>
        <v>3.7775157232704415</v>
      </c>
      <c r="AT163" s="6">
        <f t="shared" si="279"/>
        <v>2.1527777777777786</v>
      </c>
      <c r="AU163" s="6">
        <f t="shared" si="218"/>
        <v>1.6247379454926629</v>
      </c>
      <c r="AV163" s="6"/>
      <c r="AW163" s="179">
        <f t="shared" si="219"/>
        <v>0.56989247311827962</v>
      </c>
      <c r="AX163" s="179">
        <f t="shared" si="245"/>
        <v>2.9444444444444442</v>
      </c>
      <c r="AY163" s="179">
        <f t="shared" si="246"/>
        <v>0.55555555555555558</v>
      </c>
      <c r="AZ163" s="179">
        <f t="shared" si="250"/>
        <v>5.2999999999999989</v>
      </c>
      <c r="BA163" s="472">
        <f t="shared" si="243"/>
        <v>22.819444444444454</v>
      </c>
      <c r="BB163" s="6">
        <f t="shared" si="244"/>
        <v>0.33221879286694106</v>
      </c>
      <c r="BD163" s="179">
        <f t="shared" si="251"/>
        <v>0.37531422591687497</v>
      </c>
      <c r="BE163" s="179">
        <f t="shared" si="247"/>
        <v>0.97815649231438961</v>
      </c>
      <c r="BG163" s="546">
        <f t="shared" si="222"/>
        <v>4.930126886145407E-2</v>
      </c>
      <c r="BH163" s="546">
        <f t="shared" si="223"/>
        <v>4.7699999999999985E-2</v>
      </c>
      <c r="BI163" s="546">
        <f t="shared" si="224"/>
        <v>3.3090530697190419E-3</v>
      </c>
      <c r="BJ163" s="546">
        <f t="shared" si="225"/>
        <v>1.0303199999999997E-2</v>
      </c>
      <c r="BK163">
        <f t="shared" si="226"/>
        <v>3.48E-3</v>
      </c>
      <c r="BM163" s="472">
        <f t="shared" si="227"/>
        <v>114.09352193117309</v>
      </c>
      <c r="BN163" s="546">
        <f t="shared" si="228"/>
        <v>0.21200000000000002</v>
      </c>
      <c r="BQ163" s="472">
        <f t="shared" si="229"/>
        <v>212.00000000000003</v>
      </c>
      <c r="BR163" s="546">
        <f t="shared" si="230"/>
        <v>2.8172153635116617E-2</v>
      </c>
      <c r="BS163" s="546">
        <f t="shared" si="231"/>
        <v>3.8271604938271628E-2</v>
      </c>
      <c r="BT163" s="546">
        <f t="shared" si="232"/>
        <v>3.9228552675452853E-2</v>
      </c>
      <c r="BU163" s="546"/>
      <c r="BV163" s="546">
        <f t="shared" si="233"/>
        <v>1.9629629629629632E-2</v>
      </c>
      <c r="BW163" s="472">
        <f t="shared" si="234"/>
        <v>125.30194087847075</v>
      </c>
      <c r="BX163" s="179">
        <f t="shared" si="235"/>
        <v>0.45139546280964382</v>
      </c>
      <c r="BY163" s="6">
        <f t="shared" si="236"/>
        <v>2.6500000000000004</v>
      </c>
      <c r="BZ163" s="179">
        <f t="shared" si="237"/>
        <v>0.85445407777803628</v>
      </c>
      <c r="CA163" s="6">
        <f t="shared" si="238"/>
        <v>85.445407777803624</v>
      </c>
      <c r="CD163" s="581">
        <f t="shared" si="280"/>
        <v>-50</v>
      </c>
      <c r="CE163">
        <f t="shared" si="281"/>
        <v>-50</v>
      </c>
    </row>
    <row r="164" spans="5:83" x14ac:dyDescent="0.2">
      <c r="E164" s="176">
        <v>54</v>
      </c>
      <c r="F164" s="223">
        <f t="shared" si="282"/>
        <v>0.54</v>
      </c>
      <c r="G164" s="223"/>
      <c r="H164" s="223">
        <f t="shared" si="252"/>
        <v>2.7</v>
      </c>
      <c r="I164" s="559">
        <f t="shared" si="253"/>
        <v>12</v>
      </c>
      <c r="J164" s="454">
        <f t="shared" si="254"/>
        <v>15.899999999999999</v>
      </c>
      <c r="K164" s="454">
        <f t="shared" si="255"/>
        <v>27.9</v>
      </c>
      <c r="L164" s="454"/>
      <c r="M164" s="223">
        <f t="shared" si="256"/>
        <v>0.56989247311827951</v>
      </c>
      <c r="N164" s="178">
        <f t="shared" si="257"/>
        <v>4.6161290322580646</v>
      </c>
      <c r="O164" s="178">
        <f t="shared" si="248"/>
        <v>2.7</v>
      </c>
      <c r="P164" s="223">
        <f t="shared" si="258"/>
        <v>0.9232258064516129</v>
      </c>
      <c r="Q164" s="223">
        <f t="shared" si="259"/>
        <v>5</v>
      </c>
      <c r="R164" s="223"/>
      <c r="S164" s="178">
        <f t="shared" si="260"/>
        <v>11.105215026391283</v>
      </c>
      <c r="T164" s="178">
        <f t="shared" si="261"/>
        <v>5</v>
      </c>
      <c r="U164" s="223">
        <f t="shared" si="262"/>
        <v>0.87735849056603787</v>
      </c>
      <c r="V164" s="223">
        <f t="shared" si="263"/>
        <v>2.1933962264150946</v>
      </c>
      <c r="W164" s="223">
        <f t="shared" si="264"/>
        <v>1.6553933784264867</v>
      </c>
      <c r="X164" s="203">
        <f t="shared" si="265"/>
        <v>350</v>
      </c>
      <c r="Y164" s="454">
        <f t="shared" si="203"/>
        <v>259.82194473349517</v>
      </c>
      <c r="AA164" s="223">
        <f t="shared" si="266"/>
        <v>0.65130568356374818</v>
      </c>
      <c r="AB164" s="179">
        <f t="shared" si="267"/>
        <v>1.2288786482334872</v>
      </c>
      <c r="AC164" s="179">
        <f t="shared" si="268"/>
        <v>0.42019721520241832</v>
      </c>
      <c r="AD164" s="179"/>
      <c r="AE164" s="179">
        <f t="shared" si="269"/>
        <v>0.5660377358490567</v>
      </c>
      <c r="AF164" s="563">
        <f t="shared" si="270"/>
        <v>2119.9999999999995</v>
      </c>
      <c r="AG164" s="546">
        <f t="shared" si="271"/>
        <v>8.9150943396226423E-2</v>
      </c>
      <c r="AI164" s="179">
        <f t="shared" si="272"/>
        <v>0.73833790173798952</v>
      </c>
      <c r="AJ164" s="179">
        <f t="shared" si="273"/>
        <v>0.87735849056603787</v>
      </c>
      <c r="AK164" s="179">
        <f t="shared" si="274"/>
        <v>1.6276729559748428</v>
      </c>
      <c r="AM164" s="563">
        <f t="shared" si="275"/>
        <v>540</v>
      </c>
      <c r="AN164" s="472">
        <f t="shared" si="276"/>
        <v>259.82194473349517</v>
      </c>
      <c r="AP164">
        <f t="shared" si="277"/>
        <v>540</v>
      </c>
      <c r="AQ164">
        <f t="shared" si="278"/>
        <v>259.82194473349517</v>
      </c>
      <c r="AS164" s="6">
        <f t="shared" si="249"/>
        <v>3.8487896048415808</v>
      </c>
      <c r="AT164" s="6">
        <f t="shared" si="279"/>
        <v>2.1933962264150946</v>
      </c>
      <c r="AU164" s="6">
        <f t="shared" si="218"/>
        <v>1.6553933784264863</v>
      </c>
      <c r="AV164" s="6"/>
      <c r="AW164" s="179">
        <f t="shared" si="219"/>
        <v>0.56989247311827962</v>
      </c>
      <c r="AX164" s="179">
        <f t="shared" si="245"/>
        <v>3.0000000000000009</v>
      </c>
      <c r="AY164" s="179">
        <f t="shared" si="246"/>
        <v>0.5660377358490567</v>
      </c>
      <c r="AZ164" s="179">
        <f t="shared" si="250"/>
        <v>5.3000000000000007</v>
      </c>
      <c r="BA164" s="472">
        <f t="shared" si="243"/>
        <v>23.688679245283019</v>
      </c>
      <c r="BB164" s="6">
        <f t="shared" si="244"/>
        <v>0.3448736205055179</v>
      </c>
      <c r="BD164" s="179">
        <f t="shared" si="251"/>
        <v>0.3823956264058726</v>
      </c>
      <c r="BE164" s="179">
        <f t="shared" si="247"/>
        <v>0.99661227518824602</v>
      </c>
      <c r="BG164" s="546">
        <f t="shared" si="222"/>
        <v>5.1179245283018891E-2</v>
      </c>
      <c r="BH164" s="546">
        <f t="shared" si="223"/>
        <v>4.7699999999999992E-2</v>
      </c>
      <c r="BI164" s="546">
        <f t="shared" si="224"/>
        <v>3.2477743091686895E-3</v>
      </c>
      <c r="BJ164" s="546">
        <f t="shared" si="225"/>
        <v>1.0112400000000001E-2</v>
      </c>
      <c r="BK164">
        <f t="shared" si="226"/>
        <v>3.48E-3</v>
      </c>
      <c r="BM164" s="472">
        <f t="shared" si="227"/>
        <v>115.71941959218758</v>
      </c>
      <c r="BN164" s="546">
        <f t="shared" si="228"/>
        <v>0.21600000000000003</v>
      </c>
      <c r="BQ164" s="472">
        <f t="shared" si="229"/>
        <v>216.00000000000003</v>
      </c>
      <c r="BR164" s="546">
        <f t="shared" si="230"/>
        <v>2.9245283018867942E-2</v>
      </c>
      <c r="BS164" s="546">
        <f t="shared" si="231"/>
        <v>3.9729441082235688E-2</v>
      </c>
      <c r="BT164" s="546">
        <f t="shared" si="232"/>
        <v>3.9228552675452888E-2</v>
      </c>
      <c r="BU164" s="546"/>
      <c r="BV164" s="546">
        <f t="shared" si="233"/>
        <v>2.0000000000000004E-2</v>
      </c>
      <c r="BW164" s="472">
        <f t="shared" si="234"/>
        <v>128.20327677655652</v>
      </c>
      <c r="BX164" s="179">
        <f t="shared" si="235"/>
        <v>0.45992269636874411</v>
      </c>
      <c r="BY164" s="6">
        <f t="shared" si="236"/>
        <v>2.7</v>
      </c>
      <c r="BZ164" s="179">
        <f t="shared" si="237"/>
        <v>0.85445128233761258</v>
      </c>
      <c r="CA164" s="6">
        <f t="shared" si="238"/>
        <v>85.445128233761253</v>
      </c>
      <c r="CD164" s="581">
        <f t="shared" si="280"/>
        <v>-50</v>
      </c>
      <c r="CE164">
        <f t="shared" si="281"/>
        <v>-50</v>
      </c>
    </row>
    <row r="165" spans="5:83" x14ac:dyDescent="0.2">
      <c r="E165" s="176">
        <v>55</v>
      </c>
      <c r="F165" s="223">
        <f t="shared" si="282"/>
        <v>0.55000000000000004</v>
      </c>
      <c r="G165" s="223"/>
      <c r="H165" s="223">
        <f t="shared" si="252"/>
        <v>2.75</v>
      </c>
      <c r="I165" s="559">
        <f t="shared" si="253"/>
        <v>12</v>
      </c>
      <c r="J165" s="454">
        <f t="shared" si="254"/>
        <v>15.899999999999999</v>
      </c>
      <c r="K165" s="454">
        <f t="shared" si="255"/>
        <v>27.9</v>
      </c>
      <c r="L165" s="454"/>
      <c r="M165" s="223">
        <f t="shared" si="256"/>
        <v>0.56989247311827951</v>
      </c>
      <c r="N165" s="178">
        <f t="shared" si="257"/>
        <v>4.6161290322580646</v>
      </c>
      <c r="O165" s="178">
        <f t="shared" si="248"/>
        <v>2.75</v>
      </c>
      <c r="P165" s="223">
        <f t="shared" si="258"/>
        <v>0.9232258064516129</v>
      </c>
      <c r="Q165" s="223">
        <f t="shared" si="259"/>
        <v>5</v>
      </c>
      <c r="R165" s="223"/>
      <c r="S165" s="178">
        <f t="shared" si="260"/>
        <v>10.835040632181119</v>
      </c>
      <c r="T165" s="178">
        <f t="shared" si="261"/>
        <v>5</v>
      </c>
      <c r="U165" s="223">
        <f t="shared" si="262"/>
        <v>0.89360587002096448</v>
      </c>
      <c r="V165" s="223">
        <f t="shared" si="263"/>
        <v>2.234014675052411</v>
      </c>
      <c r="W165" s="223">
        <f t="shared" si="264"/>
        <v>1.6860488113603105</v>
      </c>
      <c r="X165" s="203">
        <f t="shared" si="265"/>
        <v>350</v>
      </c>
      <c r="Y165" s="454">
        <f t="shared" si="203"/>
        <v>255.09790937470433</v>
      </c>
      <c r="AA165" s="223">
        <f t="shared" si="266"/>
        <v>0.65130568356374818</v>
      </c>
      <c r="AB165" s="179">
        <f t="shared" si="267"/>
        <v>1.2288786482334872</v>
      </c>
      <c r="AC165" s="179">
        <f t="shared" si="268"/>
        <v>0.42019721520241832</v>
      </c>
      <c r="AD165" s="179"/>
      <c r="AE165" s="179">
        <f t="shared" si="269"/>
        <v>0.5660377358490567</v>
      </c>
      <c r="AF165" s="563">
        <f t="shared" si="270"/>
        <v>2159.2592592592587</v>
      </c>
      <c r="AG165" s="546">
        <f t="shared" si="271"/>
        <v>8.9150943396226423E-2</v>
      </c>
      <c r="AI165" s="179">
        <f t="shared" si="272"/>
        <v>0.74514300321354099</v>
      </c>
      <c r="AJ165" s="179">
        <f t="shared" si="273"/>
        <v>0.89360587002096448</v>
      </c>
      <c r="AK165" s="179">
        <f t="shared" si="274"/>
        <v>1.6397080518673812</v>
      </c>
      <c r="AM165" s="563">
        <f t="shared" si="275"/>
        <v>550</v>
      </c>
      <c r="AN165" s="472">
        <f t="shared" si="276"/>
        <v>255.09790937470433</v>
      </c>
      <c r="AP165">
        <f t="shared" si="277"/>
        <v>550</v>
      </c>
      <c r="AQ165">
        <f t="shared" si="278"/>
        <v>255.09790937470433</v>
      </c>
      <c r="AS165" s="6">
        <f t="shared" si="249"/>
        <v>3.9200634864127215</v>
      </c>
      <c r="AT165" s="6">
        <f t="shared" si="279"/>
        <v>2.234014675052411</v>
      </c>
      <c r="AU165" s="6">
        <f t="shared" si="218"/>
        <v>1.6860488113603105</v>
      </c>
      <c r="AV165" s="6"/>
      <c r="AW165" s="179">
        <f t="shared" si="219"/>
        <v>0.56989247311827951</v>
      </c>
      <c r="AX165" s="179">
        <f t="shared" si="245"/>
        <v>3.0555555555555558</v>
      </c>
      <c r="AY165" s="179">
        <f t="shared" si="246"/>
        <v>0.57651991614255782</v>
      </c>
      <c r="AZ165" s="179">
        <f t="shared" si="250"/>
        <v>5.2999999999999989</v>
      </c>
      <c r="BA165" s="472">
        <f t="shared" si="243"/>
        <v>24.574161425576523</v>
      </c>
      <c r="BB165" s="6">
        <f t="shared" si="244"/>
        <v>0.35776498697846087</v>
      </c>
      <c r="BD165" s="179">
        <f t="shared" si="251"/>
        <v>0.38947702689487018</v>
      </c>
      <c r="BE165" s="179">
        <f t="shared" si="247"/>
        <v>1.0150680580621023</v>
      </c>
      <c r="BG165" s="546">
        <f t="shared" si="222"/>
        <v>5.3092324067603593E-2</v>
      </c>
      <c r="BH165" s="546">
        <f t="shared" si="223"/>
        <v>4.7699999999999985E-2</v>
      </c>
      <c r="BI165" s="546">
        <f t="shared" si="224"/>
        <v>3.188723867183804E-3</v>
      </c>
      <c r="BJ165" s="546">
        <f t="shared" si="225"/>
        <v>9.9285381818181809E-3</v>
      </c>
      <c r="BK165">
        <f t="shared" si="226"/>
        <v>3.48E-3</v>
      </c>
      <c r="BM165" s="472">
        <f t="shared" si="227"/>
        <v>117.38958611660556</v>
      </c>
      <c r="BN165" s="546">
        <f t="shared" si="228"/>
        <v>0.22000000000000003</v>
      </c>
      <c r="BQ165" s="472">
        <f t="shared" si="229"/>
        <v>220.00000000000003</v>
      </c>
      <c r="BR165" s="546">
        <f t="shared" si="230"/>
        <v>3.0338470895773486E-2</v>
      </c>
      <c r="BS165" s="546">
        <f t="shared" si="231"/>
        <v>4.1214526499918698E-2</v>
      </c>
      <c r="BT165" s="546">
        <f t="shared" si="232"/>
        <v>3.9228552675452895E-2</v>
      </c>
      <c r="BU165" s="546"/>
      <c r="BV165" s="546">
        <f t="shared" si="233"/>
        <v>2.0370370370370372E-2</v>
      </c>
      <c r="BW165" s="472">
        <f t="shared" si="234"/>
        <v>131.15192044151544</v>
      </c>
      <c r="BX165" s="179">
        <f t="shared" si="235"/>
        <v>0.46854150655812099</v>
      </c>
      <c r="BY165" s="6">
        <f t="shared" si="236"/>
        <v>2.75</v>
      </c>
      <c r="BZ165" s="179">
        <f t="shared" si="237"/>
        <v>0.85442427708220703</v>
      </c>
      <c r="CA165" s="6">
        <f t="shared" si="238"/>
        <v>85.442427708220706</v>
      </c>
      <c r="CD165" s="581">
        <f t="shared" si="280"/>
        <v>-50</v>
      </c>
      <c r="CE165">
        <f t="shared" si="281"/>
        <v>-50</v>
      </c>
    </row>
    <row r="166" spans="5:83" x14ac:dyDescent="0.2">
      <c r="E166" s="176">
        <v>56</v>
      </c>
      <c r="F166" s="223">
        <f t="shared" si="282"/>
        <v>0.56000000000000005</v>
      </c>
      <c r="G166" s="223"/>
      <c r="H166" s="223">
        <f t="shared" si="252"/>
        <v>2.8000000000000003</v>
      </c>
      <c r="I166" s="559">
        <f t="shared" si="253"/>
        <v>12</v>
      </c>
      <c r="J166" s="454">
        <f t="shared" si="254"/>
        <v>15.899999999999999</v>
      </c>
      <c r="K166" s="454">
        <f t="shared" si="255"/>
        <v>27.9</v>
      </c>
      <c r="L166" s="454"/>
      <c r="M166" s="223">
        <f t="shared" si="256"/>
        <v>0.56989247311827951</v>
      </c>
      <c r="N166" s="178">
        <f t="shared" si="257"/>
        <v>4.6161290322580646</v>
      </c>
      <c r="O166" s="178">
        <f t="shared" si="248"/>
        <v>2.8000000000000003</v>
      </c>
      <c r="P166" s="223">
        <f t="shared" si="258"/>
        <v>0.9232258064516129</v>
      </c>
      <c r="Q166" s="223">
        <f t="shared" si="259"/>
        <v>5</v>
      </c>
      <c r="R166" s="223"/>
      <c r="S166" s="178">
        <f t="shared" si="260"/>
        <v>10.574634253102788</v>
      </c>
      <c r="T166" s="178">
        <f t="shared" si="261"/>
        <v>5</v>
      </c>
      <c r="U166" s="223">
        <f t="shared" si="262"/>
        <v>0.90985324947589119</v>
      </c>
      <c r="V166" s="223">
        <f t="shared" si="263"/>
        <v>2.2746331236897279</v>
      </c>
      <c r="W166" s="223">
        <f t="shared" si="264"/>
        <v>1.7167042442941345</v>
      </c>
      <c r="X166" s="203">
        <f t="shared" si="265"/>
        <v>350</v>
      </c>
      <c r="Y166" s="454">
        <f t="shared" si="203"/>
        <v>250.5425895644417</v>
      </c>
      <c r="AA166" s="223">
        <f t="shared" si="266"/>
        <v>0.65130568356374818</v>
      </c>
      <c r="AB166" s="179">
        <f t="shared" si="267"/>
        <v>1.2288786482334872</v>
      </c>
      <c r="AC166" s="179">
        <f t="shared" si="268"/>
        <v>0.42019721520241832</v>
      </c>
      <c r="AD166" s="179"/>
      <c r="AE166" s="179">
        <f t="shared" si="269"/>
        <v>0.5660377358490567</v>
      </c>
      <c r="AF166" s="563">
        <f t="shared" si="270"/>
        <v>2198.5185185185182</v>
      </c>
      <c r="AG166" s="546">
        <f t="shared" si="271"/>
        <v>8.9150943396226423E-2</v>
      </c>
      <c r="AI166" s="179">
        <f t="shared" si="272"/>
        <v>0.75188651625982317</v>
      </c>
      <c r="AJ166" s="179">
        <f t="shared" si="273"/>
        <v>0.90985324947589119</v>
      </c>
      <c r="AK166" s="179">
        <f t="shared" si="274"/>
        <v>1.6517431477599194</v>
      </c>
      <c r="AM166" s="563">
        <f t="shared" si="275"/>
        <v>560</v>
      </c>
      <c r="AN166" s="472">
        <f t="shared" si="276"/>
        <v>250.5425895644417</v>
      </c>
      <c r="AP166">
        <f t="shared" si="277"/>
        <v>560</v>
      </c>
      <c r="AQ166">
        <f t="shared" si="278"/>
        <v>250.5425895644417</v>
      </c>
      <c r="AS166" s="6">
        <f t="shared" si="249"/>
        <v>3.9913373679838631</v>
      </c>
      <c r="AT166" s="6">
        <f t="shared" si="279"/>
        <v>2.2746331236897279</v>
      </c>
      <c r="AU166" s="6">
        <f t="shared" si="218"/>
        <v>1.7167042442941352</v>
      </c>
      <c r="AV166" s="6"/>
      <c r="AW166" s="179">
        <f t="shared" si="219"/>
        <v>0.5698924731182794</v>
      </c>
      <c r="AX166" s="179">
        <f t="shared" si="245"/>
        <v>3.1111111111111116</v>
      </c>
      <c r="AY166" s="179">
        <f t="shared" si="246"/>
        <v>0.58700209643605905</v>
      </c>
      <c r="AZ166" s="179">
        <f t="shared" si="250"/>
        <v>5.299999999999998</v>
      </c>
      <c r="BA166" s="472">
        <f t="shared" si="243"/>
        <v>25.475890985324956</v>
      </c>
      <c r="BB166" s="6">
        <f t="shared" si="244"/>
        <v>0.37089289228576988</v>
      </c>
      <c r="BD166" s="179">
        <f t="shared" si="251"/>
        <v>0.39655842738386782</v>
      </c>
      <c r="BE166" s="179">
        <f t="shared" si="247"/>
        <v>1.0335238409359591</v>
      </c>
      <c r="BG166" s="546">
        <f t="shared" si="222"/>
        <v>5.5040505215208223E-2</v>
      </c>
      <c r="BH166" s="546">
        <f t="shared" si="223"/>
        <v>4.7699999999999979E-2</v>
      </c>
      <c r="BI166" s="546">
        <f t="shared" si="224"/>
        <v>3.1317823695555212E-3</v>
      </c>
      <c r="BJ166" s="546">
        <f t="shared" si="225"/>
        <v>9.7512428571428535E-3</v>
      </c>
      <c r="BK166">
        <f t="shared" si="226"/>
        <v>3.48E-3</v>
      </c>
      <c r="BM166" s="472">
        <f t="shared" si="227"/>
        <v>119.10353044190657</v>
      </c>
      <c r="BN166" s="546">
        <f t="shared" si="228"/>
        <v>0.22400000000000003</v>
      </c>
      <c r="BQ166" s="472">
        <f t="shared" si="229"/>
        <v>224.00000000000003</v>
      </c>
      <c r="BR166" s="546">
        <f t="shared" si="230"/>
        <v>3.1451717265833276E-2</v>
      </c>
      <c r="BS166" s="546">
        <f t="shared" si="231"/>
        <v>4.2726861191320707E-2</v>
      </c>
      <c r="BT166" s="546">
        <f t="shared" si="232"/>
        <v>3.9228552675452839E-2</v>
      </c>
      <c r="BU166" s="546"/>
      <c r="BV166" s="546">
        <f t="shared" si="233"/>
        <v>2.0740740740740747E-2</v>
      </c>
      <c r="BW166" s="472">
        <f t="shared" si="234"/>
        <v>134.14787187334755</v>
      </c>
      <c r="BX166" s="179">
        <f t="shared" si="235"/>
        <v>0.47725140231525415</v>
      </c>
      <c r="BY166" s="6">
        <f t="shared" si="236"/>
        <v>2.8000000000000003</v>
      </c>
      <c r="BZ166" s="179">
        <f t="shared" si="237"/>
        <v>0.85437449138686949</v>
      </c>
      <c r="CA166" s="6">
        <f t="shared" si="238"/>
        <v>85.437449138686944</v>
      </c>
      <c r="CD166" s="581">
        <f t="shared" si="280"/>
        <v>-50</v>
      </c>
      <c r="CE166">
        <f t="shared" si="281"/>
        <v>-50</v>
      </c>
    </row>
    <row r="167" spans="5:83" x14ac:dyDescent="0.2">
      <c r="E167" s="176">
        <v>57</v>
      </c>
      <c r="F167" s="223">
        <f t="shared" si="282"/>
        <v>0.56999999999999995</v>
      </c>
      <c r="G167" s="223"/>
      <c r="H167" s="223">
        <f t="shared" si="252"/>
        <v>2.8499999999999996</v>
      </c>
      <c r="I167" s="559">
        <f t="shared" si="253"/>
        <v>12</v>
      </c>
      <c r="J167" s="454">
        <f t="shared" si="254"/>
        <v>15.899999999999999</v>
      </c>
      <c r="K167" s="454">
        <f t="shared" si="255"/>
        <v>27.9</v>
      </c>
      <c r="L167" s="454"/>
      <c r="M167" s="223">
        <f t="shared" si="256"/>
        <v>0.56989247311827951</v>
      </c>
      <c r="N167" s="178">
        <f t="shared" si="257"/>
        <v>4.6161290322580646</v>
      </c>
      <c r="O167" s="178">
        <f t="shared" si="248"/>
        <v>2.8499999999999996</v>
      </c>
      <c r="P167" s="223">
        <f t="shared" si="258"/>
        <v>0.9232258064516129</v>
      </c>
      <c r="Q167" s="223">
        <f t="shared" si="259"/>
        <v>5</v>
      </c>
      <c r="R167" s="223"/>
      <c r="S167" s="178">
        <f t="shared" si="260"/>
        <v>10.323483613383292</v>
      </c>
      <c r="T167" s="178">
        <f t="shared" si="261"/>
        <v>5</v>
      </c>
      <c r="U167" s="223">
        <f t="shared" si="262"/>
        <v>0.92610062893081757</v>
      </c>
      <c r="V167" s="223">
        <f t="shared" si="263"/>
        <v>2.3152515723270439</v>
      </c>
      <c r="W167" s="223">
        <f t="shared" si="264"/>
        <v>1.7473596772279578</v>
      </c>
      <c r="X167" s="203">
        <f t="shared" si="265"/>
        <v>350</v>
      </c>
      <c r="Y167" s="454">
        <f t="shared" si="203"/>
        <v>246.14710553699544</v>
      </c>
      <c r="AA167" s="223">
        <f t="shared" si="266"/>
        <v>0.65130568356374818</v>
      </c>
      <c r="AB167" s="179">
        <f t="shared" si="267"/>
        <v>1.2288786482334872</v>
      </c>
      <c r="AC167" s="179">
        <f t="shared" si="268"/>
        <v>0.42019721520241832</v>
      </c>
      <c r="AD167" s="179"/>
      <c r="AE167" s="179">
        <f t="shared" si="269"/>
        <v>0.5660377358490567</v>
      </c>
      <c r="AF167" s="563">
        <f t="shared" si="270"/>
        <v>2237.7777777777769</v>
      </c>
      <c r="AG167" s="546">
        <f t="shared" si="271"/>
        <v>8.9150943396226423E-2</v>
      </c>
      <c r="AI167" s="179">
        <f t="shared" si="272"/>
        <v>0.75857008339939913</v>
      </c>
      <c r="AJ167" s="179">
        <f t="shared" si="273"/>
        <v>0.92610062893081757</v>
      </c>
      <c r="AK167" s="179">
        <f t="shared" si="274"/>
        <v>1.6637782436524575</v>
      </c>
      <c r="AM167" s="563">
        <f t="shared" si="275"/>
        <v>570</v>
      </c>
      <c r="AN167" s="472">
        <f t="shared" si="276"/>
        <v>246.14710553699544</v>
      </c>
      <c r="AP167">
        <f t="shared" si="277"/>
        <v>570</v>
      </c>
      <c r="AQ167">
        <f t="shared" si="278"/>
        <v>246.14710553699544</v>
      </c>
      <c r="AS167" s="6">
        <f t="shared" si="249"/>
        <v>4.062611249555002</v>
      </c>
      <c r="AT167" s="6">
        <f t="shared" si="279"/>
        <v>2.3152515723270439</v>
      </c>
      <c r="AU167" s="6">
        <f t="shared" si="218"/>
        <v>1.747359677227958</v>
      </c>
      <c r="AV167" s="6"/>
      <c r="AW167" s="179">
        <f t="shared" si="219"/>
        <v>0.56989247311827951</v>
      </c>
      <c r="AX167" s="179">
        <f t="shared" si="245"/>
        <v>3.1666666666666661</v>
      </c>
      <c r="AY167" s="179">
        <f t="shared" si="246"/>
        <v>0.59748427672955984</v>
      </c>
      <c r="AZ167" s="179">
        <f t="shared" si="250"/>
        <v>5.299999999999998</v>
      </c>
      <c r="BA167" s="472">
        <f t="shared" si="243"/>
        <v>26.393867924528298</v>
      </c>
      <c r="BB167" s="6">
        <f t="shared" si="244"/>
        <v>0.38425733642744436</v>
      </c>
      <c r="BD167" s="179">
        <f t="shared" si="251"/>
        <v>0.4036398278728654</v>
      </c>
      <c r="BE167" s="179">
        <f t="shared" si="247"/>
        <v>1.0519796238098151</v>
      </c>
      <c r="BG167" s="546">
        <f t="shared" si="222"/>
        <v>5.702378872583274E-2</v>
      </c>
      <c r="BH167" s="546">
        <f t="shared" si="223"/>
        <v>4.7699999999999985E-2</v>
      </c>
      <c r="BI167" s="546">
        <f t="shared" si="224"/>
        <v>3.0768388192124428E-3</v>
      </c>
      <c r="BJ167" s="546">
        <f t="shared" si="225"/>
        <v>9.580168421052632E-3</v>
      </c>
      <c r="BK167">
        <f t="shared" si="226"/>
        <v>3.48E-3</v>
      </c>
      <c r="BM167" s="472">
        <f t="shared" si="227"/>
        <v>120.86079596609781</v>
      </c>
      <c r="BN167" s="546">
        <f t="shared" si="228"/>
        <v>0.22799999999999998</v>
      </c>
      <c r="BQ167" s="472">
        <f t="shared" si="229"/>
        <v>227.99999999999997</v>
      </c>
      <c r="BR167" s="546">
        <f t="shared" si="230"/>
        <v>3.2585022129047285E-2</v>
      </c>
      <c r="BS167" s="546">
        <f t="shared" si="231"/>
        <v>4.4266445156441611E-2</v>
      </c>
      <c r="BT167" s="546">
        <f t="shared" si="232"/>
        <v>3.9228552675452853E-2</v>
      </c>
      <c r="BU167" s="546"/>
      <c r="BV167" s="546">
        <f t="shared" si="233"/>
        <v>2.1111111111111112E-2</v>
      </c>
      <c r="BW167" s="472">
        <f t="shared" si="234"/>
        <v>137.19113107205285</v>
      </c>
      <c r="BX167" s="179">
        <f t="shared" si="235"/>
        <v>0.48605192703815064</v>
      </c>
      <c r="BY167" s="6">
        <f t="shared" si="236"/>
        <v>2.8499999999999996</v>
      </c>
      <c r="BZ167" s="179">
        <f t="shared" si="237"/>
        <v>0.85430324896960386</v>
      </c>
      <c r="CA167" s="6">
        <f t="shared" si="238"/>
        <v>85.430324896960386</v>
      </c>
      <c r="CD167" s="581">
        <f t="shared" si="280"/>
        <v>-50</v>
      </c>
      <c r="CE167">
        <f t="shared" si="281"/>
        <v>-50</v>
      </c>
    </row>
    <row r="168" spans="5:83" x14ac:dyDescent="0.2">
      <c r="E168" s="176">
        <v>58</v>
      </c>
      <c r="F168" s="223">
        <f t="shared" si="282"/>
        <v>0.57999999999999996</v>
      </c>
      <c r="G168" s="223"/>
      <c r="H168" s="223">
        <f t="shared" si="252"/>
        <v>2.9</v>
      </c>
      <c r="I168" s="559">
        <f t="shared" si="253"/>
        <v>12</v>
      </c>
      <c r="J168" s="454">
        <f t="shared" si="254"/>
        <v>15.899999999999999</v>
      </c>
      <c r="K168" s="454">
        <f t="shared" si="255"/>
        <v>27.9</v>
      </c>
      <c r="L168" s="454"/>
      <c r="M168" s="223">
        <f t="shared" si="256"/>
        <v>0.56989247311827951</v>
      </c>
      <c r="N168" s="178">
        <f t="shared" si="257"/>
        <v>4.6161290322580646</v>
      </c>
      <c r="O168" s="178">
        <f t="shared" si="248"/>
        <v>2.9</v>
      </c>
      <c r="P168" s="223">
        <f t="shared" si="258"/>
        <v>0.9232258064516129</v>
      </c>
      <c r="Q168" s="223">
        <f t="shared" si="259"/>
        <v>5</v>
      </c>
      <c r="R168" s="223"/>
      <c r="S168" s="178">
        <f t="shared" si="260"/>
        <v>10.081111796521478</v>
      </c>
      <c r="T168" s="178">
        <f t="shared" si="261"/>
        <v>5</v>
      </c>
      <c r="U168" s="223">
        <f t="shared" si="262"/>
        <v>0.94234800838574428</v>
      </c>
      <c r="V168" s="223">
        <f t="shared" si="263"/>
        <v>2.3558700209643608</v>
      </c>
      <c r="W168" s="223">
        <f t="shared" si="264"/>
        <v>1.7780151101617818</v>
      </c>
      <c r="X168" s="203">
        <f t="shared" si="265"/>
        <v>350</v>
      </c>
      <c r="Y168" s="454">
        <f t="shared" si="203"/>
        <v>241.90318992428863</v>
      </c>
      <c r="AA168" s="223">
        <f t="shared" si="266"/>
        <v>0.65130568356374818</v>
      </c>
      <c r="AB168" s="179">
        <f t="shared" si="267"/>
        <v>1.2288786482334872</v>
      </c>
      <c r="AC168" s="179">
        <f t="shared" si="268"/>
        <v>0.42019721520241832</v>
      </c>
      <c r="AD168" s="179"/>
      <c r="AE168" s="179">
        <f t="shared" si="269"/>
        <v>0.5660377358490567</v>
      </c>
      <c r="AF168" s="563">
        <f t="shared" si="270"/>
        <v>2277.0370370370365</v>
      </c>
      <c r="AG168" s="546">
        <f t="shared" si="271"/>
        <v>8.9150943396226423E-2</v>
      </c>
      <c r="AI168" s="179">
        <f t="shared" si="272"/>
        <v>0.76519527541916343</v>
      </c>
      <c r="AJ168" s="179">
        <f t="shared" si="273"/>
        <v>0.94234800838574428</v>
      </c>
      <c r="AK168" s="179">
        <f t="shared" si="274"/>
        <v>1.6758133395449957</v>
      </c>
      <c r="AM168" s="563">
        <f t="shared" si="275"/>
        <v>580</v>
      </c>
      <c r="AN168" s="472">
        <f t="shared" si="276"/>
        <v>241.90318992428863</v>
      </c>
      <c r="AP168">
        <f t="shared" si="277"/>
        <v>580</v>
      </c>
      <c r="AQ168">
        <f t="shared" si="278"/>
        <v>241.90318992428863</v>
      </c>
      <c r="AS168" s="6">
        <f t="shared" si="249"/>
        <v>4.1338851311261422</v>
      </c>
      <c r="AT168" s="6">
        <f t="shared" si="279"/>
        <v>2.3558700209643608</v>
      </c>
      <c r="AU168" s="6">
        <f t="shared" si="218"/>
        <v>1.7780151101617814</v>
      </c>
      <c r="AV168" s="6"/>
      <c r="AW168" s="179">
        <f t="shared" si="219"/>
        <v>0.56989247311827962</v>
      </c>
      <c r="AX168" s="179">
        <f t="shared" si="245"/>
        <v>3.2222222222222228</v>
      </c>
      <c r="AY168" s="179">
        <f t="shared" si="246"/>
        <v>0.60796645702306074</v>
      </c>
      <c r="AZ168" s="179">
        <f t="shared" si="250"/>
        <v>5.3000000000000016</v>
      </c>
      <c r="BA168" s="472">
        <f t="shared" si="243"/>
        <v>27.328092243186585</v>
      </c>
      <c r="BB168" s="6">
        <f t="shared" si="244"/>
        <v>0.39785831940348493</v>
      </c>
      <c r="BD168" s="179">
        <f t="shared" si="251"/>
        <v>0.41072122836186314</v>
      </c>
      <c r="BE168" s="179">
        <f t="shared" si="247"/>
        <v>1.0704354066836714</v>
      </c>
      <c r="BG168" s="546">
        <f t="shared" si="222"/>
        <v>5.90421745994772E-2</v>
      </c>
      <c r="BH168" s="546">
        <f t="shared" si="223"/>
        <v>4.7699999999999992E-2</v>
      </c>
      <c r="BI168" s="546">
        <f t="shared" si="224"/>
        <v>3.0237898740536075E-3</v>
      </c>
      <c r="BJ168" s="546">
        <f t="shared" si="225"/>
        <v>9.414993103448276E-3</v>
      </c>
      <c r="BK168">
        <f t="shared" si="226"/>
        <v>3.48E-3</v>
      </c>
      <c r="BM168" s="472">
        <f t="shared" si="227"/>
        <v>122.66095757697906</v>
      </c>
      <c r="BN168" s="546">
        <f t="shared" si="228"/>
        <v>0.23199999999999998</v>
      </c>
      <c r="BQ168" s="472">
        <f t="shared" si="229"/>
        <v>231.99999999999997</v>
      </c>
      <c r="BR168" s="546">
        <f t="shared" si="230"/>
        <v>3.3738385485415544E-2</v>
      </c>
      <c r="BS168" s="546">
        <f t="shared" si="231"/>
        <v>4.5833278395281479E-2</v>
      </c>
      <c r="BT168" s="546">
        <f t="shared" si="232"/>
        <v>3.9228552675452832E-2</v>
      </c>
      <c r="BU168" s="546"/>
      <c r="BV168" s="546">
        <f t="shared" si="233"/>
        <v>2.1481481481481483E-2</v>
      </c>
      <c r="BW168" s="472">
        <f t="shared" si="234"/>
        <v>140.28169803763134</v>
      </c>
      <c r="BX168" s="179">
        <f t="shared" si="235"/>
        <v>0.49494265561461037</v>
      </c>
      <c r="BY168" s="6">
        <f t="shared" si="236"/>
        <v>2.9</v>
      </c>
      <c r="BZ168" s="179">
        <f t="shared" si="237"/>
        <v>0.854211777393039</v>
      </c>
      <c r="CA168" s="6">
        <f t="shared" si="238"/>
        <v>85.4211777393039</v>
      </c>
      <c r="CD168" s="581">
        <f t="shared" si="280"/>
        <v>-50</v>
      </c>
      <c r="CE168">
        <f t="shared" si="281"/>
        <v>-50</v>
      </c>
    </row>
    <row r="169" spans="5:83" x14ac:dyDescent="0.2">
      <c r="E169" s="176">
        <v>59</v>
      </c>
      <c r="F169" s="223">
        <f t="shared" si="282"/>
        <v>0.59</v>
      </c>
      <c r="G169" s="223"/>
      <c r="H169" s="223">
        <f t="shared" si="252"/>
        <v>2.9499999999999997</v>
      </c>
      <c r="I169" s="559">
        <f t="shared" si="253"/>
        <v>12</v>
      </c>
      <c r="J169" s="454">
        <f t="shared" si="254"/>
        <v>15.899999999999999</v>
      </c>
      <c r="K169" s="454">
        <f t="shared" si="255"/>
        <v>27.9</v>
      </c>
      <c r="L169" s="454"/>
      <c r="M169" s="223">
        <f t="shared" si="256"/>
        <v>0.56989247311827951</v>
      </c>
      <c r="N169" s="178">
        <f t="shared" si="257"/>
        <v>4.6161290322580646</v>
      </c>
      <c r="O169" s="178">
        <f t="shared" si="248"/>
        <v>2.9499999999999997</v>
      </c>
      <c r="P169" s="223">
        <f t="shared" si="258"/>
        <v>0.9232258064516129</v>
      </c>
      <c r="Q169" s="223">
        <f t="shared" si="259"/>
        <v>5</v>
      </c>
      <c r="R169" s="223"/>
      <c r="S169" s="178">
        <f t="shared" si="260"/>
        <v>9.8470742491071306</v>
      </c>
      <c r="T169" s="178">
        <f t="shared" si="261"/>
        <v>5</v>
      </c>
      <c r="U169" s="223">
        <f t="shared" si="262"/>
        <v>0.95859538784067089</v>
      </c>
      <c r="V169" s="223">
        <f t="shared" si="263"/>
        <v>2.3964884696016773</v>
      </c>
      <c r="W169" s="223">
        <f t="shared" si="264"/>
        <v>1.8086705430956058</v>
      </c>
      <c r="X169" s="203">
        <f t="shared" si="265"/>
        <v>350</v>
      </c>
      <c r="Y169" s="454">
        <f t="shared" si="203"/>
        <v>237.80313585777523</v>
      </c>
      <c r="AA169" s="223">
        <f t="shared" si="266"/>
        <v>0.65130568356374818</v>
      </c>
      <c r="AB169" s="179">
        <f t="shared" si="267"/>
        <v>1.2288786482334872</v>
      </c>
      <c r="AC169" s="179">
        <f t="shared" si="268"/>
        <v>0.42019721520241832</v>
      </c>
      <c r="AD169" s="179"/>
      <c r="AE169" s="179">
        <f t="shared" si="269"/>
        <v>0.5660377358490567</v>
      </c>
      <c r="AF169" s="563">
        <f t="shared" si="270"/>
        <v>2316.2962962962956</v>
      </c>
      <c r="AG169" s="546">
        <f t="shared" si="271"/>
        <v>8.9150943396226423E-2</v>
      </c>
      <c r="AI169" s="179">
        <f t="shared" si="272"/>
        <v>0.77176359568137676</v>
      </c>
      <c r="AJ169" s="179">
        <f t="shared" si="273"/>
        <v>0.95859538784067089</v>
      </c>
      <c r="AK169" s="179">
        <f t="shared" si="274"/>
        <v>1.687848435437534</v>
      </c>
      <c r="AM169" s="563">
        <f t="shared" si="275"/>
        <v>590</v>
      </c>
      <c r="AN169" s="472">
        <f t="shared" si="276"/>
        <v>237.80313585777523</v>
      </c>
      <c r="AP169">
        <f t="shared" si="277"/>
        <v>590</v>
      </c>
      <c r="AQ169">
        <f t="shared" si="278"/>
        <v>237.80313585777523</v>
      </c>
      <c r="AS169" s="6">
        <f t="shared" si="249"/>
        <v>4.2051590126972833</v>
      </c>
      <c r="AT169" s="6">
        <f t="shared" si="279"/>
        <v>2.3964884696016773</v>
      </c>
      <c r="AU169" s="6">
        <f t="shared" si="218"/>
        <v>1.808670543095606</v>
      </c>
      <c r="AV169" s="6"/>
      <c r="AW169" s="179">
        <f t="shared" si="219"/>
        <v>0.56989247311827951</v>
      </c>
      <c r="AX169" s="179">
        <f t="shared" si="245"/>
        <v>3.2777777777777777</v>
      </c>
      <c r="AY169" s="179">
        <f t="shared" si="246"/>
        <v>0.61844863731656197</v>
      </c>
      <c r="AZ169" s="179">
        <f t="shared" si="250"/>
        <v>5.2999999999999989</v>
      </c>
      <c r="BA169" s="472">
        <f t="shared" si="243"/>
        <v>28.27856394129979</v>
      </c>
      <c r="BB169" s="6">
        <f t="shared" si="244"/>
        <v>0.41169584121389163</v>
      </c>
      <c r="BD169" s="179">
        <f t="shared" si="251"/>
        <v>0.41780262885086072</v>
      </c>
      <c r="BE169" s="179">
        <f t="shared" si="247"/>
        <v>1.0888911895575279</v>
      </c>
      <c r="BG169" s="546">
        <f t="shared" si="222"/>
        <v>6.1095662836141526E-2</v>
      </c>
      <c r="BH169" s="546">
        <f t="shared" si="223"/>
        <v>4.7699999999999985E-2</v>
      </c>
      <c r="BI169" s="546">
        <f t="shared" si="224"/>
        <v>2.9725391982221901E-3</v>
      </c>
      <c r="BJ169" s="546">
        <f t="shared" si="225"/>
        <v>9.2554169491525402E-3</v>
      </c>
      <c r="BK169">
        <f t="shared" si="226"/>
        <v>3.48E-3</v>
      </c>
      <c r="BM169" s="472">
        <f t="shared" si="227"/>
        <v>124.50361898351622</v>
      </c>
      <c r="BN169" s="546">
        <f t="shared" si="228"/>
        <v>0.23599999999999999</v>
      </c>
      <c r="BQ169" s="472">
        <f t="shared" si="229"/>
        <v>236</v>
      </c>
      <c r="BR169" s="546">
        <f t="shared" si="230"/>
        <v>3.4911807334938018E-2</v>
      </c>
      <c r="BS169" s="546">
        <f t="shared" si="231"/>
        <v>4.7427360907840332E-2</v>
      </c>
      <c r="BT169" s="546">
        <f t="shared" si="232"/>
        <v>3.9228552675452853E-2</v>
      </c>
      <c r="BU169" s="546"/>
      <c r="BV169" s="546">
        <f t="shared" si="233"/>
        <v>2.1851851851851851E-2</v>
      </c>
      <c r="BW169" s="472">
        <f t="shared" si="234"/>
        <v>143.41957277008305</v>
      </c>
      <c r="BX169" s="179">
        <f t="shared" si="235"/>
        <v>0.50392319175359934</v>
      </c>
      <c r="BY169" s="6">
        <f t="shared" si="236"/>
        <v>2.9499999999999997</v>
      </c>
      <c r="BZ169" s="179">
        <f t="shared" si="237"/>
        <v>0.85410121656534244</v>
      </c>
      <c r="CA169" s="6">
        <f t="shared" si="238"/>
        <v>85.410121656534244</v>
      </c>
      <c r="CD169" s="581">
        <f t="shared" si="280"/>
        <v>-50</v>
      </c>
      <c r="CE169">
        <f t="shared" si="281"/>
        <v>-50</v>
      </c>
    </row>
    <row r="170" spans="5:83" x14ac:dyDescent="0.2">
      <c r="E170" s="176">
        <v>60</v>
      </c>
      <c r="F170" s="223">
        <f t="shared" si="282"/>
        <v>0.6</v>
      </c>
      <c r="G170" s="223"/>
      <c r="H170" s="223">
        <f t="shared" si="252"/>
        <v>3</v>
      </c>
      <c r="I170" s="559">
        <f t="shared" si="253"/>
        <v>12</v>
      </c>
      <c r="J170" s="454">
        <f t="shared" si="254"/>
        <v>15.899999999999999</v>
      </c>
      <c r="K170" s="454">
        <f t="shared" si="255"/>
        <v>27.9</v>
      </c>
      <c r="L170" s="454"/>
      <c r="M170" s="223">
        <f t="shared" si="256"/>
        <v>0.56989247311827951</v>
      </c>
      <c r="N170" s="178">
        <f t="shared" si="257"/>
        <v>4.6161290322580646</v>
      </c>
      <c r="O170" s="178">
        <f t="shared" si="248"/>
        <v>3</v>
      </c>
      <c r="P170" s="223">
        <f t="shared" si="258"/>
        <v>0.9232258064516129</v>
      </c>
      <c r="Q170" s="223">
        <f t="shared" si="259"/>
        <v>5</v>
      </c>
      <c r="R170" s="223"/>
      <c r="S170" s="178">
        <f t="shared" si="260"/>
        <v>9.6209560842532778</v>
      </c>
      <c r="T170" s="178">
        <f t="shared" si="261"/>
        <v>5</v>
      </c>
      <c r="U170" s="223">
        <f t="shared" si="262"/>
        <v>0.9748427672955976</v>
      </c>
      <c r="V170" s="223">
        <f t="shared" si="263"/>
        <v>2.4371069182389942</v>
      </c>
      <c r="W170" s="223">
        <f t="shared" si="264"/>
        <v>1.8393259760294296</v>
      </c>
      <c r="X170" s="203">
        <f t="shared" si="265"/>
        <v>350</v>
      </c>
      <c r="Y170" s="454">
        <f t="shared" ref="Y170:Y210" si="283">MIN(1/(V170+W170)*1000, 350)</f>
        <v>233.83975026014565</v>
      </c>
      <c r="AA170" s="223">
        <f t="shared" si="266"/>
        <v>0.65130568356374818</v>
      </c>
      <c r="AB170" s="179">
        <f t="shared" si="267"/>
        <v>1.2288786482334872</v>
      </c>
      <c r="AC170" s="179">
        <f t="shared" si="268"/>
        <v>0.42019721520241832</v>
      </c>
      <c r="AD170" s="179"/>
      <c r="AE170" s="179">
        <f t="shared" si="269"/>
        <v>0.5660377358490567</v>
      </c>
      <c r="AF170" s="563">
        <f t="shared" si="270"/>
        <v>2355.5555555555552</v>
      </c>
      <c r="AG170" s="546">
        <f t="shared" si="271"/>
        <v>8.9150943396226423E-2</v>
      </c>
      <c r="AI170" s="179">
        <f t="shared" si="272"/>
        <v>0.7782764841072134</v>
      </c>
      <c r="AJ170" s="179">
        <f t="shared" si="273"/>
        <v>0.9748427672955976</v>
      </c>
      <c r="AK170" s="179">
        <f t="shared" si="274"/>
        <v>1.6998835313300722</v>
      </c>
      <c r="AM170" s="563">
        <f t="shared" si="275"/>
        <v>600</v>
      </c>
      <c r="AN170" s="472">
        <f t="shared" si="276"/>
        <v>233.83975026014565</v>
      </c>
      <c r="AP170">
        <f t="shared" si="277"/>
        <v>600</v>
      </c>
      <c r="AQ170">
        <f t="shared" si="278"/>
        <v>233.83975026014565</v>
      </c>
      <c r="AS170" s="6">
        <f t="shared" si="249"/>
        <v>4.2764328942684235</v>
      </c>
      <c r="AT170" s="6">
        <f t="shared" si="279"/>
        <v>2.4371069182389942</v>
      </c>
      <c r="AU170" s="6">
        <f t="shared" ref="AU170:AU233" si="284">AS170-AT170</f>
        <v>1.8393259760294294</v>
      </c>
      <c r="AV170" s="6"/>
      <c r="AW170" s="179">
        <f t="shared" ref="AW170:AW233" si="285">AT170/AS170</f>
        <v>0.56989247311827962</v>
      </c>
      <c r="AX170" s="179">
        <f t="shared" si="245"/>
        <v>3.3333333333333339</v>
      </c>
      <c r="AY170" s="179">
        <f t="shared" si="246"/>
        <v>0.62893081761006298</v>
      </c>
      <c r="AZ170" s="179">
        <f t="shared" si="250"/>
        <v>5.3</v>
      </c>
      <c r="BA170" s="472">
        <f t="shared" si="243"/>
        <v>29.24528301886793</v>
      </c>
      <c r="BB170" s="6">
        <f t="shared" si="244"/>
        <v>0.42576990185866409</v>
      </c>
      <c r="BD170" s="179">
        <f t="shared" si="251"/>
        <v>0.42488402933985842</v>
      </c>
      <c r="BE170" s="179">
        <f t="shared" si="247"/>
        <v>1.1073469724313842</v>
      </c>
      <c r="BG170" s="546">
        <f t="shared" ref="BG170:BG210" si="286">Rdson*BD170^2</f>
        <v>6.3184253435825774E-2</v>
      </c>
      <c r="BH170" s="546">
        <f t="shared" ref="BH170:BH210" si="287">0.5*K170*AJ170*AN170*1000*Trise</f>
        <v>4.7699999999999992E-2</v>
      </c>
      <c r="BI170" s="546">
        <f t="shared" ref="BI170:BI210" si="288">Qg*Vdd*AN170*1000</f>
        <v>2.9229968782518204E-3</v>
      </c>
      <c r="BJ170" s="546">
        <f t="shared" ref="BJ170:BJ210" si="289">0.5*(Coss+Csw)*K170^2*AN170*1000</f>
        <v>9.1011599999999988E-3</v>
      </c>
      <c r="BK170">
        <f t="shared" ref="BK170:BK210" si="290">I170*IQ</f>
        <v>3.48E-3</v>
      </c>
      <c r="BM170" s="472">
        <f t="shared" ref="BM170:BM210" si="291">SUM(BG170:BK170)*1000</f>
        <v>126.38841031407757</v>
      </c>
      <c r="BN170" s="546">
        <f t="shared" ref="BN170:BN210" si="292">Vfwd2*F170</f>
        <v>0.24</v>
      </c>
      <c r="BQ170" s="472">
        <f t="shared" ref="BQ170:BQ210" si="293">SUM(BN170:BP170)*1000</f>
        <v>240</v>
      </c>
      <c r="BR170" s="546">
        <f t="shared" ref="BR170:BR210" si="294">Rdcr_pri*BD170^2</f>
        <v>3.6105287677614735E-2</v>
      </c>
      <c r="BS170" s="546">
        <f t="shared" ref="BS170:BS210" si="295">Rdcr_sec*BE170^2</f>
        <v>4.9048692694118115E-2</v>
      </c>
      <c r="BT170" s="546">
        <f t="shared" ref="BT170:BT210" si="296">AJ170^2.5*AN170^2.5*k_core</f>
        <v>3.9228552675452805E-2</v>
      </c>
      <c r="BU170" s="546"/>
      <c r="BV170" s="546">
        <f t="shared" ref="BV170:BV210" si="297">0.5*Lleak*0.000000001*AJ170^2*AN170*1000</f>
        <v>2.222222222222223E-2</v>
      </c>
      <c r="BW170" s="472">
        <f t="shared" ref="BW170:BW210" si="298">SUM(BR170:BV170)*1000</f>
        <v>146.60475526940789</v>
      </c>
      <c r="BX170" s="179">
        <f t="shared" ref="BX170:BX210" si="299">SUM(BG170:BK170,BN170:BP170,BR170:BV170)</f>
        <v>0.5129931655834854</v>
      </c>
      <c r="BY170" s="6">
        <f t="shared" ref="BY170:BY210" si="300">MIN(H170,O170)</f>
        <v>3</v>
      </c>
      <c r="BZ170" s="179">
        <f t="shared" ref="BZ170:BZ210" si="301">BY170/(BY170+BX170)</f>
        <v>0.85397262636055238</v>
      </c>
      <c r="CA170" s="6">
        <f t="shared" ref="CA170:CA210" si="302">BZ170*100</f>
        <v>85.397262636055231</v>
      </c>
      <c r="CD170" s="581">
        <f t="shared" si="280"/>
        <v>-50</v>
      </c>
      <c r="CE170">
        <f t="shared" si="281"/>
        <v>-50</v>
      </c>
    </row>
    <row r="171" spans="5:83" x14ac:dyDescent="0.2">
      <c r="E171" s="176">
        <v>61</v>
      </c>
      <c r="F171" s="223">
        <f t="shared" si="282"/>
        <v>0.61</v>
      </c>
      <c r="G171" s="223"/>
      <c r="H171" s="223">
        <f t="shared" si="252"/>
        <v>3.05</v>
      </c>
      <c r="I171" s="559">
        <f t="shared" si="253"/>
        <v>12</v>
      </c>
      <c r="J171" s="454">
        <f t="shared" si="254"/>
        <v>15.899999999999999</v>
      </c>
      <c r="K171" s="454">
        <f t="shared" si="255"/>
        <v>27.9</v>
      </c>
      <c r="L171" s="454"/>
      <c r="M171" s="223">
        <f t="shared" si="256"/>
        <v>0.56989247311827951</v>
      </c>
      <c r="N171" s="178">
        <f t="shared" si="257"/>
        <v>4.6161290322580646</v>
      </c>
      <c r="O171" s="178">
        <f t="shared" si="248"/>
        <v>3.05</v>
      </c>
      <c r="P171" s="223">
        <f t="shared" si="258"/>
        <v>0.9232258064516129</v>
      </c>
      <c r="Q171" s="223">
        <f t="shared" si="259"/>
        <v>5</v>
      </c>
      <c r="R171" s="223"/>
      <c r="S171" s="178">
        <f t="shared" si="260"/>
        <v>9.4023696502590841</v>
      </c>
      <c r="T171" s="178">
        <f t="shared" si="261"/>
        <v>5</v>
      </c>
      <c r="U171" s="223">
        <f t="shared" si="262"/>
        <v>0.99109014675052409</v>
      </c>
      <c r="V171" s="223">
        <f t="shared" si="263"/>
        <v>2.4777253668763102</v>
      </c>
      <c r="W171" s="223">
        <f t="shared" si="264"/>
        <v>1.8699814089632534</v>
      </c>
      <c r="X171" s="203">
        <f t="shared" si="265"/>
        <v>350</v>
      </c>
      <c r="Y171" s="454">
        <f t="shared" si="283"/>
        <v>230.00631173129079</v>
      </c>
      <c r="AA171" s="223">
        <f t="shared" si="266"/>
        <v>0.65130568356374818</v>
      </c>
      <c r="AB171" s="179">
        <f t="shared" si="267"/>
        <v>1.2288786482334872</v>
      </c>
      <c r="AC171" s="179">
        <f t="shared" si="268"/>
        <v>0.42019721520241832</v>
      </c>
      <c r="AD171" s="179"/>
      <c r="AE171" s="179">
        <f t="shared" si="269"/>
        <v>0.5660377358490567</v>
      </c>
      <c r="AF171" s="563">
        <f t="shared" si="270"/>
        <v>2394.8148148148143</v>
      </c>
      <c r="AG171" s="546">
        <f t="shared" si="271"/>
        <v>8.9150943396226423E-2</v>
      </c>
      <c r="AI171" s="179">
        <f t="shared" si="272"/>
        <v>0.78473532086272479</v>
      </c>
      <c r="AJ171" s="179">
        <f t="shared" si="273"/>
        <v>0.99109014675052409</v>
      </c>
      <c r="AK171" s="179">
        <f t="shared" si="274"/>
        <v>1.7119186272226106</v>
      </c>
      <c r="AM171" s="563">
        <f t="shared" si="275"/>
        <v>610</v>
      </c>
      <c r="AN171" s="472">
        <f t="shared" si="276"/>
        <v>230.00631173129079</v>
      </c>
      <c r="AP171">
        <f t="shared" si="277"/>
        <v>610</v>
      </c>
      <c r="AQ171">
        <f t="shared" si="278"/>
        <v>230.00631173129079</v>
      </c>
      <c r="AS171" s="6">
        <f t="shared" si="249"/>
        <v>4.3477067758395647</v>
      </c>
      <c r="AT171" s="6">
        <f t="shared" si="279"/>
        <v>2.4777253668763102</v>
      </c>
      <c r="AU171" s="6">
        <f t="shared" si="284"/>
        <v>1.8699814089632545</v>
      </c>
      <c r="AV171" s="6"/>
      <c r="AW171" s="179">
        <f t="shared" si="285"/>
        <v>0.5698924731182794</v>
      </c>
      <c r="AX171" s="179">
        <f t="shared" si="245"/>
        <v>3.388888888888888</v>
      </c>
      <c r="AY171" s="179">
        <f t="shared" si="246"/>
        <v>0.63941299790356421</v>
      </c>
      <c r="AZ171" s="179">
        <f t="shared" si="250"/>
        <v>5.2999999999999963</v>
      </c>
      <c r="BA171" s="472">
        <f t="shared" si="243"/>
        <v>30.22824947589098</v>
      </c>
      <c r="BB171" s="6">
        <f t="shared" si="244"/>
        <v>0.44008050133780285</v>
      </c>
      <c r="BD171" s="179">
        <f t="shared" si="251"/>
        <v>0.43196542982885588</v>
      </c>
      <c r="BE171" s="179">
        <f t="shared" si="247"/>
        <v>1.1258027553052408</v>
      </c>
      <c r="BG171" s="546">
        <f t="shared" si="286"/>
        <v>6.5307946398529867E-2</v>
      </c>
      <c r="BH171" s="546">
        <f t="shared" si="287"/>
        <v>4.7699999999999985E-2</v>
      </c>
      <c r="BI171" s="546">
        <f t="shared" si="288"/>
        <v>2.8750788966411347E-3</v>
      </c>
      <c r="BJ171" s="546">
        <f t="shared" si="289"/>
        <v>8.9519606557377038E-3</v>
      </c>
      <c r="BK171">
        <f t="shared" si="290"/>
        <v>3.48E-3</v>
      </c>
      <c r="BM171" s="472">
        <f t="shared" si="291"/>
        <v>128.31498595090869</v>
      </c>
      <c r="BN171" s="546">
        <f t="shared" si="292"/>
        <v>0.24399999999999999</v>
      </c>
      <c r="BQ171" s="472">
        <f t="shared" si="293"/>
        <v>244</v>
      </c>
      <c r="BR171" s="546">
        <f t="shared" si="294"/>
        <v>3.731882651344564E-2</v>
      </c>
      <c r="BS171" s="546">
        <f t="shared" si="295"/>
        <v>5.0697273754114869E-2</v>
      </c>
      <c r="BT171" s="546">
        <f t="shared" si="296"/>
        <v>3.9228552675452791E-2</v>
      </c>
      <c r="BU171" s="546"/>
      <c r="BV171" s="546">
        <f t="shared" si="297"/>
        <v>2.2592592592592588E-2</v>
      </c>
      <c r="BW171" s="472">
        <f t="shared" si="298"/>
        <v>149.83724553560586</v>
      </c>
      <c r="BX171" s="179">
        <f t="shared" si="299"/>
        <v>0.52215223148651457</v>
      </c>
      <c r="BY171" s="6">
        <f t="shared" si="300"/>
        <v>3.05</v>
      </c>
      <c r="BZ171" s="179">
        <f t="shared" si="301"/>
        <v>0.85382699346236257</v>
      </c>
      <c r="CA171" s="6">
        <f t="shared" si="302"/>
        <v>85.382699346236251</v>
      </c>
      <c r="CD171" s="581">
        <f t="shared" si="280"/>
        <v>-50</v>
      </c>
      <c r="CE171">
        <f t="shared" si="281"/>
        <v>-50</v>
      </c>
    </row>
    <row r="172" spans="5:83" x14ac:dyDescent="0.2">
      <c r="E172" s="176">
        <v>62</v>
      </c>
      <c r="F172" s="223">
        <f t="shared" si="282"/>
        <v>0.62</v>
      </c>
      <c r="G172" s="223"/>
      <c r="H172" s="223">
        <f t="shared" si="252"/>
        <v>3.1</v>
      </c>
      <c r="I172" s="559">
        <f t="shared" si="253"/>
        <v>12</v>
      </c>
      <c r="J172" s="454">
        <f t="shared" si="254"/>
        <v>15.899999999999999</v>
      </c>
      <c r="K172" s="454">
        <f t="shared" si="255"/>
        <v>27.9</v>
      </c>
      <c r="L172" s="454"/>
      <c r="M172" s="223">
        <f t="shared" si="256"/>
        <v>0.56989247311827951</v>
      </c>
      <c r="N172" s="178">
        <f t="shared" si="257"/>
        <v>4.6161290322580646</v>
      </c>
      <c r="O172" s="178">
        <f t="shared" si="248"/>
        <v>3.1</v>
      </c>
      <c r="P172" s="223">
        <f t="shared" si="258"/>
        <v>0.9232258064516129</v>
      </c>
      <c r="Q172" s="223">
        <f t="shared" si="259"/>
        <v>5</v>
      </c>
      <c r="R172" s="223"/>
      <c r="S172" s="178">
        <f t="shared" si="260"/>
        <v>9.1909523345572541</v>
      </c>
      <c r="T172" s="178">
        <f t="shared" si="261"/>
        <v>5</v>
      </c>
      <c r="U172" s="223">
        <f t="shared" si="262"/>
        <v>1.0073375262054509</v>
      </c>
      <c r="V172" s="223">
        <f t="shared" si="263"/>
        <v>2.5183438155136271</v>
      </c>
      <c r="W172" s="223">
        <f t="shared" si="264"/>
        <v>1.9006368418970774</v>
      </c>
      <c r="X172" s="203">
        <f t="shared" si="265"/>
        <v>350</v>
      </c>
      <c r="Y172" s="454">
        <f t="shared" si="283"/>
        <v>226.29653250981835</v>
      </c>
      <c r="AA172" s="223">
        <f t="shared" si="266"/>
        <v>0.65130568356374818</v>
      </c>
      <c r="AB172" s="179">
        <f t="shared" si="267"/>
        <v>1.2288786482334872</v>
      </c>
      <c r="AC172" s="179">
        <f t="shared" si="268"/>
        <v>0.42019721520241832</v>
      </c>
      <c r="AD172" s="179"/>
      <c r="AE172" s="179">
        <f t="shared" si="269"/>
        <v>0.5660377358490567</v>
      </c>
      <c r="AF172" s="563">
        <f t="shared" si="270"/>
        <v>2434.0740740740739</v>
      </c>
      <c r="AG172" s="546">
        <f t="shared" si="271"/>
        <v>8.9150943396226423E-2</v>
      </c>
      <c r="AI172" s="179">
        <f t="shared" si="272"/>
        <v>0.79114142977394497</v>
      </c>
      <c r="AJ172" s="179">
        <f t="shared" si="273"/>
        <v>1.0073375262054509</v>
      </c>
      <c r="AK172" s="179">
        <f t="shared" si="274"/>
        <v>1.7239537231151487</v>
      </c>
      <c r="AM172" s="563">
        <f t="shared" si="275"/>
        <v>620</v>
      </c>
      <c r="AN172" s="472">
        <f t="shared" si="276"/>
        <v>226.29653250981835</v>
      </c>
      <c r="AP172">
        <f t="shared" si="277"/>
        <v>620</v>
      </c>
      <c r="AQ172">
        <f t="shared" si="278"/>
        <v>226.29653250981835</v>
      </c>
      <c r="AS172" s="6">
        <f t="shared" si="249"/>
        <v>4.418980657410704</v>
      </c>
      <c r="AT172" s="6">
        <f t="shared" si="279"/>
        <v>2.5183438155136271</v>
      </c>
      <c r="AU172" s="6">
        <f t="shared" si="284"/>
        <v>1.9006368418970769</v>
      </c>
      <c r="AV172" s="6"/>
      <c r="AW172" s="179">
        <f t="shared" si="285"/>
        <v>0.56989247311827962</v>
      </c>
      <c r="AX172" s="179">
        <f t="shared" si="245"/>
        <v>3.4444444444444446</v>
      </c>
      <c r="AY172" s="179">
        <f t="shared" si="246"/>
        <v>0.64989517819706499</v>
      </c>
      <c r="AZ172" s="179">
        <f t="shared" si="250"/>
        <v>5.3000000000000007</v>
      </c>
      <c r="BA172" s="472">
        <f t="shared" si="243"/>
        <v>31.227463312368979</v>
      </c>
      <c r="BB172" s="6">
        <f t="shared" si="244"/>
        <v>0.45462763965130687</v>
      </c>
      <c r="BD172" s="179">
        <f t="shared" si="251"/>
        <v>0.43904683031785374</v>
      </c>
      <c r="BE172" s="179">
        <f t="shared" si="247"/>
        <v>1.1442585381790973</v>
      </c>
      <c r="BG172" s="546">
        <f t="shared" si="286"/>
        <v>6.7466741724253987E-2</v>
      </c>
      <c r="BH172" s="546">
        <f t="shared" si="287"/>
        <v>4.7699999999999985E-2</v>
      </c>
      <c r="BI172" s="546">
        <f t="shared" si="288"/>
        <v>2.8287066563727294E-3</v>
      </c>
      <c r="BJ172" s="546">
        <f t="shared" si="289"/>
        <v>8.8075741935483842E-3</v>
      </c>
      <c r="BK172">
        <f t="shared" si="290"/>
        <v>3.48E-3</v>
      </c>
      <c r="BM172" s="472">
        <f t="shared" si="291"/>
        <v>130.28302257417511</v>
      </c>
      <c r="BN172" s="546">
        <f t="shared" si="292"/>
        <v>0.248</v>
      </c>
      <c r="BQ172" s="472">
        <f t="shared" si="293"/>
        <v>248</v>
      </c>
      <c r="BR172" s="546">
        <f t="shared" si="294"/>
        <v>3.855242384243085E-2</v>
      </c>
      <c r="BS172" s="546">
        <f t="shared" si="295"/>
        <v>5.2373104087830587E-2</v>
      </c>
      <c r="BT172" s="546">
        <f t="shared" si="296"/>
        <v>3.9228552675452777E-2</v>
      </c>
      <c r="BU172" s="546"/>
      <c r="BV172" s="546">
        <f t="shared" si="297"/>
        <v>2.296296296296297E-2</v>
      </c>
      <c r="BW172" s="472">
        <f t="shared" si="298"/>
        <v>153.11704356867716</v>
      </c>
      <c r="BX172" s="179">
        <f t="shared" si="299"/>
        <v>0.53140006614285229</v>
      </c>
      <c r="BY172" s="6">
        <f t="shared" si="300"/>
        <v>3.1</v>
      </c>
      <c r="BZ172" s="179">
        <f t="shared" si="301"/>
        <v>0.85366523752165735</v>
      </c>
      <c r="CA172" s="6">
        <f t="shared" si="302"/>
        <v>85.366523752165733</v>
      </c>
      <c r="CD172" s="581">
        <f t="shared" si="280"/>
        <v>-50</v>
      </c>
      <c r="CE172">
        <f t="shared" si="281"/>
        <v>-50</v>
      </c>
    </row>
    <row r="173" spans="5:83" x14ac:dyDescent="0.2">
      <c r="E173" s="176">
        <v>63</v>
      </c>
      <c r="F173" s="223">
        <f t="shared" si="282"/>
        <v>0.63</v>
      </c>
      <c r="G173" s="223"/>
      <c r="H173" s="223">
        <f t="shared" si="252"/>
        <v>3.15</v>
      </c>
      <c r="I173" s="559">
        <f t="shared" si="253"/>
        <v>12</v>
      </c>
      <c r="J173" s="454">
        <f t="shared" si="254"/>
        <v>15.899999999999999</v>
      </c>
      <c r="K173" s="454">
        <f t="shared" si="255"/>
        <v>27.9</v>
      </c>
      <c r="L173" s="454"/>
      <c r="M173" s="223">
        <f t="shared" si="256"/>
        <v>0.56989247311827951</v>
      </c>
      <c r="N173" s="178">
        <f t="shared" si="257"/>
        <v>4.6161290322580646</v>
      </c>
      <c r="O173" s="178">
        <f t="shared" si="248"/>
        <v>3.15</v>
      </c>
      <c r="P173" s="223">
        <f t="shared" si="258"/>
        <v>0.9232258064516129</v>
      </c>
      <c r="Q173" s="223">
        <f t="shared" si="259"/>
        <v>5</v>
      </c>
      <c r="R173" s="223"/>
      <c r="S173" s="178">
        <f t="shared" si="260"/>
        <v>8.9863645768024156</v>
      </c>
      <c r="T173" s="178">
        <f t="shared" si="261"/>
        <v>5</v>
      </c>
      <c r="U173" s="223">
        <f t="shared" si="262"/>
        <v>1.0235849056603774</v>
      </c>
      <c r="V173" s="223">
        <f t="shared" si="263"/>
        <v>2.5589622641509431</v>
      </c>
      <c r="W173" s="223">
        <f t="shared" si="264"/>
        <v>1.9312922748309009</v>
      </c>
      <c r="X173" s="203">
        <f t="shared" si="265"/>
        <v>350</v>
      </c>
      <c r="Y173" s="454">
        <f t="shared" si="283"/>
        <v>222.70452405728159</v>
      </c>
      <c r="AA173" s="223">
        <f t="shared" si="266"/>
        <v>0.65130568356374818</v>
      </c>
      <c r="AB173" s="179">
        <f t="shared" si="267"/>
        <v>1.2288786482334872</v>
      </c>
      <c r="AC173" s="179">
        <f t="shared" si="268"/>
        <v>0.42019721520241832</v>
      </c>
      <c r="AD173" s="179"/>
      <c r="AE173" s="179">
        <f t="shared" si="269"/>
        <v>0.5660377358490567</v>
      </c>
      <c r="AF173" s="563">
        <f t="shared" si="270"/>
        <v>2473.333333333333</v>
      </c>
      <c r="AG173" s="546">
        <f t="shared" si="271"/>
        <v>8.9150943396226423E-2</v>
      </c>
      <c r="AI173" s="179">
        <f t="shared" si="272"/>
        <v>0.79749608149507534</v>
      </c>
      <c r="AJ173" s="179">
        <f t="shared" si="273"/>
        <v>1.0235849056603774</v>
      </c>
      <c r="AK173" s="179">
        <f t="shared" si="274"/>
        <v>1.7359888190076869</v>
      </c>
      <c r="AM173" s="563">
        <f t="shared" si="275"/>
        <v>630</v>
      </c>
      <c r="AN173" s="472">
        <f t="shared" si="276"/>
        <v>222.70452405728159</v>
      </c>
      <c r="AP173">
        <f t="shared" si="277"/>
        <v>630</v>
      </c>
      <c r="AQ173">
        <f t="shared" si="278"/>
        <v>222.70452405728159</v>
      </c>
      <c r="AS173" s="6">
        <f t="shared" si="249"/>
        <v>4.4902545389818442</v>
      </c>
      <c r="AT173" s="6">
        <f t="shared" si="279"/>
        <v>2.5589622641509431</v>
      </c>
      <c r="AU173" s="6">
        <f t="shared" si="284"/>
        <v>1.9312922748309012</v>
      </c>
      <c r="AV173" s="6"/>
      <c r="AW173" s="179">
        <f t="shared" si="285"/>
        <v>0.56989247311827951</v>
      </c>
      <c r="AX173" s="179">
        <f t="shared" si="245"/>
        <v>3.5000000000000004</v>
      </c>
      <c r="AY173" s="179">
        <f t="shared" si="246"/>
        <v>0.66037735849056611</v>
      </c>
      <c r="AZ173" s="179">
        <f t="shared" si="250"/>
        <v>5.3</v>
      </c>
      <c r="BA173" s="472">
        <f t="shared" si="243"/>
        <v>32.242924528301877</v>
      </c>
      <c r="BB173" s="6">
        <f t="shared" si="244"/>
        <v>0.4694113167991773</v>
      </c>
      <c r="BD173" s="179">
        <f t="shared" si="251"/>
        <v>0.44612823080685127</v>
      </c>
      <c r="BE173" s="179">
        <f t="shared" si="247"/>
        <v>1.1627143210529536</v>
      </c>
      <c r="BG173" s="546">
        <f t="shared" si="286"/>
        <v>6.9660639412997896E-2</v>
      </c>
      <c r="BH173" s="546">
        <f t="shared" si="287"/>
        <v>4.7699999999999985E-2</v>
      </c>
      <c r="BI173" s="546">
        <f t="shared" si="288"/>
        <v>2.7838065507160194E-3</v>
      </c>
      <c r="BJ173" s="546">
        <f t="shared" si="289"/>
        <v>8.6677714285714278E-3</v>
      </c>
      <c r="BK173">
        <f t="shared" si="290"/>
        <v>3.48E-3</v>
      </c>
      <c r="BM173" s="472">
        <f t="shared" si="291"/>
        <v>132.29221739228532</v>
      </c>
      <c r="BN173" s="546">
        <f t="shared" si="292"/>
        <v>0.252</v>
      </c>
      <c r="BQ173" s="472">
        <f t="shared" si="293"/>
        <v>252</v>
      </c>
      <c r="BR173" s="546">
        <f t="shared" si="294"/>
        <v>3.9806079664570233E-2</v>
      </c>
      <c r="BS173" s="546">
        <f t="shared" si="295"/>
        <v>5.4076183695265234E-2</v>
      </c>
      <c r="BT173" s="546">
        <f t="shared" si="296"/>
        <v>3.9228552675452784E-2</v>
      </c>
      <c r="BU173" s="546"/>
      <c r="BV173" s="546">
        <f t="shared" si="297"/>
        <v>2.3333333333333334E-2</v>
      </c>
      <c r="BW173" s="472">
        <f t="shared" si="298"/>
        <v>156.44414936862159</v>
      </c>
      <c r="BX173" s="179">
        <f t="shared" si="299"/>
        <v>0.54073636676090697</v>
      </c>
      <c r="BY173" s="6">
        <f t="shared" si="300"/>
        <v>3.15</v>
      </c>
      <c r="BZ173" s="179">
        <f t="shared" si="301"/>
        <v>0.85348821670633923</v>
      </c>
      <c r="CA173" s="6">
        <f t="shared" si="302"/>
        <v>85.348821670633924</v>
      </c>
      <c r="CD173" s="581">
        <f t="shared" si="280"/>
        <v>-50</v>
      </c>
      <c r="CE173">
        <f t="shared" si="281"/>
        <v>-50</v>
      </c>
    </row>
    <row r="174" spans="5:83" x14ac:dyDescent="0.2">
      <c r="E174" s="176">
        <v>64</v>
      </c>
      <c r="F174" s="223">
        <f t="shared" si="282"/>
        <v>0.64</v>
      </c>
      <c r="G174" s="223"/>
      <c r="H174" s="223">
        <f t="shared" ref="H174:H205" si="303">F174*Vout</f>
        <v>3.2</v>
      </c>
      <c r="I174" s="559">
        <f t="shared" ref="I174:I212" si="304">VIN_min</f>
        <v>12</v>
      </c>
      <c r="J174" s="454">
        <f t="shared" ref="J174:J210" si="305">(T174+Vfwd1)*Nps</f>
        <v>15.899999999999999</v>
      </c>
      <c r="K174" s="454">
        <f t="shared" ref="K174:K210" si="306">(Vout+Vfwd1)*Nps+I174</f>
        <v>27.9</v>
      </c>
      <c r="L174" s="454"/>
      <c r="M174" s="223">
        <f t="shared" ref="M174:M210" si="307">(Vout+Vfwd1)*Nps/((Vout+Vfwd1)*Nps+I174)</f>
        <v>0.56989247311827951</v>
      </c>
      <c r="N174" s="178">
        <f t="shared" ref="N174:N205" si="308">M174*I174*Isw_max*0.5*Efficiency</f>
        <v>4.6161290322580646</v>
      </c>
      <c r="O174" s="178">
        <f t="shared" si="248"/>
        <v>3.2</v>
      </c>
      <c r="P174" s="223">
        <f t="shared" ref="P174:P205" si="309">N174/Vout</f>
        <v>0.9232258064516129</v>
      </c>
      <c r="Q174" s="223">
        <f t="shared" ref="Q174:Q210" si="310">MIN(Vout,N174/F174)</f>
        <v>5</v>
      </c>
      <c r="R174" s="223"/>
      <c r="S174" s="178">
        <f t="shared" ref="S174:S210" si="311">(SQRT(Isw_max^2*Nps^2*I174^2+4*Isw_max*F174/Efficiency*(Nps^2*Vfwd1*I174-Nps*I174^2)+4*(F174/Efficiency)^2*Nps^2*Vfwd1^2+8*(F174/Efficiency)^2*Nps*Vfwd1*I174+4*(F174/Efficiency)^2*I174^2)-2*F174/Efficiency*I174-2*F174/Efficiency*Nps*Vfwd1+Isw_max*Nps*I174)/(4*F174/Efficiency*Nps)</f>
        <v>8.7882880682249187</v>
      </c>
      <c r="T174" s="178">
        <f t="shared" ref="T174:T205" si="312">MIN(Vout, S174)</f>
        <v>5</v>
      </c>
      <c r="U174" s="223">
        <f t="shared" ref="U174:U210" si="313">MIN(2*Vout*F174/(Efficiency*I174*M174), Isw_max)</f>
        <v>1.0398322851153041</v>
      </c>
      <c r="V174" s="223">
        <f t="shared" ref="V174:V205" si="314">L*U174/I174*1000000</f>
        <v>2.5995807127882604</v>
      </c>
      <c r="W174" s="223">
        <f t="shared" ref="W174:W210" si="315">L*U174/J174*1000000</f>
        <v>1.9619477077647247</v>
      </c>
      <c r="X174" s="203">
        <f t="shared" ref="X174:X210" si="316">IF(1/((350000*L)*(1/I174+1/J174))&gt;Isw_min, 350, 0.001/((Isw_min*L)*(1/I174+1/J174)))</f>
        <v>350</v>
      </c>
      <c r="Y174" s="454">
        <f t="shared" si="283"/>
        <v>219.22476586888652</v>
      </c>
      <c r="AA174" s="223">
        <f t="shared" ref="AA174:AA210" si="317">1/((X174*1000*L)*(1/I174+1/J174))</f>
        <v>0.65130568356374818</v>
      </c>
      <c r="AB174" s="179">
        <f t="shared" ref="AB174:AB205" si="318">L*AA174/J174*1000000</f>
        <v>1.2288786482334872</v>
      </c>
      <c r="AC174" s="179">
        <f t="shared" ref="AC174:AC205" si="319">0.5*AB174*AA174*Nps*X174/1000</f>
        <v>0.42019721520241832</v>
      </c>
      <c r="AD174" s="179"/>
      <c r="AE174" s="179">
        <f t="shared" ref="AE174:AE210" si="320">L*Isw_min/J174*1000000</f>
        <v>0.5660377358490567</v>
      </c>
      <c r="AF174" s="563">
        <f t="shared" ref="AF174:AF205" si="321">MAX(10000,F174/(0.5*AE174/1000000*Isw_min*Nps))/1000</f>
        <v>2512.5925925925922</v>
      </c>
      <c r="AG174" s="546">
        <f t="shared" ref="AG174:AG210" si="322">0.5*AE174/1000000*Isw_min*Nps*X174*1000</f>
        <v>8.9150943396226423E-2</v>
      </c>
      <c r="AI174" s="179">
        <f t="shared" ref="AI174:AI210" si="323">SQRT(F174/(0.5*L/J174*Fsw_DCM*Nps))</f>
        <v>0.80380049645122642</v>
      </c>
      <c r="AJ174" s="179">
        <f t="shared" ref="AJ174:AJ205" si="324">MAX(IF(F174&gt;AC174,U174,AI174),Isw_min)</f>
        <v>1.0398322851153041</v>
      </c>
      <c r="AK174" s="179">
        <f t="shared" ref="AK174:AK205" si="325">IF(F174&gt;AG174, (AJ174-Isw_min)/1.08*0.8+1.2, AF174*0.2/350+1)</f>
        <v>1.7480239149002252</v>
      </c>
      <c r="AM174" s="563">
        <f t="shared" ref="AM174:AM210" si="326">F174*1000</f>
        <v>640</v>
      </c>
      <c r="AN174" s="472">
        <f t="shared" ref="AN174:AN210" si="327">IF(F174&gt;AG174, Y174, AF174)</f>
        <v>219.22476586888652</v>
      </c>
      <c r="AP174">
        <f t="shared" ref="AP174:AP210" si="328">IF(H174&gt;N174, "",AM174)</f>
        <v>640</v>
      </c>
      <c r="AQ174">
        <f t="shared" ref="AQ174:AQ210" si="329">IF(H174&gt;N174, "",AN174)</f>
        <v>219.22476586888652</v>
      </c>
      <c r="AS174" s="6">
        <f t="shared" si="249"/>
        <v>4.5615284205529854</v>
      </c>
      <c r="AT174" s="6">
        <f t="shared" ref="AT174:AT210" si="330">L*AJ174/I174*1000000</f>
        <v>2.5995807127882604</v>
      </c>
      <c r="AU174" s="6">
        <f t="shared" si="284"/>
        <v>1.9619477077647249</v>
      </c>
      <c r="AV174" s="6"/>
      <c r="AW174" s="179">
        <f t="shared" si="285"/>
        <v>0.56989247311827951</v>
      </c>
      <c r="AX174" s="179">
        <f t="shared" si="245"/>
        <v>3.5555555555555554</v>
      </c>
      <c r="AY174" s="179">
        <f t="shared" si="246"/>
        <v>0.67085953878406723</v>
      </c>
      <c r="AZ174" s="179">
        <f t="shared" si="250"/>
        <v>5.2999999999999989</v>
      </c>
      <c r="BA174" s="472">
        <f t="shared" si="243"/>
        <v>33.274633123689732</v>
      </c>
      <c r="BB174" s="6">
        <f t="shared" si="244"/>
        <v>0.48443153278141354</v>
      </c>
      <c r="BD174" s="179">
        <f t="shared" si="251"/>
        <v>0.45320963129584896</v>
      </c>
      <c r="BE174" s="179">
        <f t="shared" si="247"/>
        <v>1.1811701039268101</v>
      </c>
      <c r="BG174" s="546">
        <f t="shared" si="286"/>
        <v>7.1889639464761776E-2</v>
      </c>
      <c r="BH174" s="546">
        <f t="shared" si="287"/>
        <v>4.7699999999999985E-2</v>
      </c>
      <c r="BI174" s="546">
        <f t="shared" si="288"/>
        <v>2.7403095733610815E-3</v>
      </c>
      <c r="BJ174" s="546">
        <f t="shared" si="289"/>
        <v>8.532337499999999E-3</v>
      </c>
      <c r="BK174">
        <f t="shared" si="290"/>
        <v>3.48E-3</v>
      </c>
      <c r="BM174" s="472">
        <f t="shared" si="291"/>
        <v>134.34228653812283</v>
      </c>
      <c r="BN174" s="546">
        <f t="shared" si="292"/>
        <v>0.25600000000000001</v>
      </c>
      <c r="BQ174" s="472">
        <f t="shared" si="293"/>
        <v>256</v>
      </c>
      <c r="BR174" s="546">
        <f t="shared" si="294"/>
        <v>4.1079793979863874E-2</v>
      </c>
      <c r="BS174" s="546">
        <f t="shared" si="295"/>
        <v>5.5806512576418853E-2</v>
      </c>
      <c r="BT174" s="546">
        <f t="shared" si="296"/>
        <v>3.9228552675452812E-2</v>
      </c>
      <c r="BU174" s="546"/>
      <c r="BV174" s="546">
        <f t="shared" si="297"/>
        <v>2.3703703703703706E-2</v>
      </c>
      <c r="BW174" s="472">
        <f t="shared" si="298"/>
        <v>159.81856293543922</v>
      </c>
      <c r="BX174" s="179">
        <f t="shared" si="299"/>
        <v>0.55016084947356203</v>
      </c>
      <c r="BY174" s="6">
        <f t="shared" si="300"/>
        <v>3.2</v>
      </c>
      <c r="BZ174" s="179">
        <f t="shared" si="301"/>
        <v>0.85329673271193363</v>
      </c>
      <c r="CA174" s="6">
        <f t="shared" si="302"/>
        <v>85.329673271193357</v>
      </c>
      <c r="CD174" s="581">
        <f t="shared" ref="CD174:CD210" si="331">IF(ABS(F174-Ioutmax_Vinmin)&lt;Iout/200, AN174, -50)</f>
        <v>-50</v>
      </c>
      <c r="CE174">
        <f t="shared" ref="CE174:CE210" si="332">IF(ABS(F174-Ioutmax_Vinmin)&lt;Iout/200, N174*BZ174, -50)</f>
        <v>-50</v>
      </c>
    </row>
    <row r="175" spans="5:83" x14ac:dyDescent="0.2">
      <c r="E175" s="176">
        <v>65</v>
      </c>
      <c r="F175" s="223">
        <f t="shared" ref="F175:F206" si="333">IF(PLOT_TYPE=1, E175/100*Iout_max, min_I*EXP(N175*rr/100))</f>
        <v>0.65</v>
      </c>
      <c r="G175" s="223"/>
      <c r="H175" s="223">
        <f t="shared" si="303"/>
        <v>3.25</v>
      </c>
      <c r="I175" s="559">
        <f t="shared" si="304"/>
        <v>12</v>
      </c>
      <c r="J175" s="454">
        <f t="shared" si="305"/>
        <v>15.899999999999999</v>
      </c>
      <c r="K175" s="454">
        <f t="shared" si="306"/>
        <v>27.9</v>
      </c>
      <c r="L175" s="454"/>
      <c r="M175" s="223">
        <f t="shared" si="307"/>
        <v>0.56989247311827951</v>
      </c>
      <c r="N175" s="178">
        <f t="shared" si="308"/>
        <v>4.6161290322580646</v>
      </c>
      <c r="O175" s="178">
        <f t="shared" si="248"/>
        <v>3.25</v>
      </c>
      <c r="P175" s="223">
        <f t="shared" si="309"/>
        <v>0.9232258064516129</v>
      </c>
      <c r="Q175" s="223">
        <f t="shared" si="310"/>
        <v>5</v>
      </c>
      <c r="R175" s="223"/>
      <c r="S175" s="178">
        <f t="shared" si="311"/>
        <v>8.5964241171898514</v>
      </c>
      <c r="T175" s="178">
        <f t="shared" si="312"/>
        <v>5</v>
      </c>
      <c r="U175" s="223">
        <f t="shared" si="313"/>
        <v>1.0560796645702306</v>
      </c>
      <c r="V175" s="223">
        <f t="shared" si="314"/>
        <v>2.6401991614255769</v>
      </c>
      <c r="W175" s="223">
        <f t="shared" si="315"/>
        <v>1.9926031406985487</v>
      </c>
      <c r="X175" s="203">
        <f t="shared" si="316"/>
        <v>350</v>
      </c>
      <c r="Y175" s="454">
        <f t="shared" si="283"/>
        <v>215.85207716321136</v>
      </c>
      <c r="AA175" s="223">
        <f t="shared" si="317"/>
        <v>0.65130568356374818</v>
      </c>
      <c r="AB175" s="179">
        <f t="shared" si="318"/>
        <v>1.2288786482334872</v>
      </c>
      <c r="AC175" s="179">
        <f t="shared" si="319"/>
        <v>0.42019721520241832</v>
      </c>
      <c r="AD175" s="179"/>
      <c r="AE175" s="179">
        <f t="shared" si="320"/>
        <v>0.5660377358490567</v>
      </c>
      <c r="AF175" s="563">
        <f t="shared" si="321"/>
        <v>2551.8518518518517</v>
      </c>
      <c r="AG175" s="546">
        <f t="shared" si="322"/>
        <v>8.9150943396226423E-2</v>
      </c>
      <c r="AI175" s="179">
        <f t="shared" si="323"/>
        <v>0.81005584757501514</v>
      </c>
      <c r="AJ175" s="179">
        <f t="shared" si="324"/>
        <v>1.0560796645702306</v>
      </c>
      <c r="AK175" s="179">
        <f t="shared" si="325"/>
        <v>1.7600590107927632</v>
      </c>
      <c r="AM175" s="563">
        <f t="shared" si="326"/>
        <v>650</v>
      </c>
      <c r="AN175" s="472">
        <f t="shared" si="327"/>
        <v>215.85207716321136</v>
      </c>
      <c r="AP175">
        <f t="shared" si="328"/>
        <v>650</v>
      </c>
      <c r="AQ175">
        <f t="shared" si="329"/>
        <v>215.85207716321136</v>
      </c>
      <c r="AS175" s="6">
        <f t="shared" si="249"/>
        <v>4.6328023021241256</v>
      </c>
      <c r="AT175" s="6">
        <f t="shared" si="330"/>
        <v>2.6401991614255769</v>
      </c>
      <c r="AU175" s="6">
        <f t="shared" si="284"/>
        <v>1.9926031406985487</v>
      </c>
      <c r="AV175" s="6"/>
      <c r="AW175" s="179">
        <f t="shared" si="285"/>
        <v>0.56989247311827951</v>
      </c>
      <c r="AX175" s="179">
        <f t="shared" si="245"/>
        <v>3.6111111111111112</v>
      </c>
      <c r="AY175" s="179">
        <f t="shared" si="246"/>
        <v>0.68134171907756824</v>
      </c>
      <c r="AZ175" s="179">
        <f t="shared" si="250"/>
        <v>5.2999999999999989</v>
      </c>
      <c r="BA175" s="472">
        <f t="shared" si="243"/>
        <v>34.322589098532504</v>
      </c>
      <c r="BB175" s="6">
        <f t="shared" si="244"/>
        <v>0.49968828759801559</v>
      </c>
      <c r="BD175" s="179">
        <f t="shared" si="251"/>
        <v>0.46029103178484654</v>
      </c>
      <c r="BE175" s="179">
        <f t="shared" si="247"/>
        <v>1.1996258868006664</v>
      </c>
      <c r="BG175" s="546">
        <f t="shared" si="286"/>
        <v>7.4153741879545515E-2</v>
      </c>
      <c r="BH175" s="546">
        <f t="shared" si="287"/>
        <v>4.7699999999999979E-2</v>
      </c>
      <c r="BI175" s="546">
        <f t="shared" si="288"/>
        <v>2.6981509645401416E-3</v>
      </c>
      <c r="BJ175" s="546">
        <f t="shared" si="289"/>
        <v>8.4010707692307677E-3</v>
      </c>
      <c r="BK175">
        <f t="shared" si="290"/>
        <v>3.48E-3</v>
      </c>
      <c r="BM175" s="472">
        <f t="shared" si="291"/>
        <v>136.43296361331642</v>
      </c>
      <c r="BN175" s="546">
        <f t="shared" si="292"/>
        <v>0.26</v>
      </c>
      <c r="BQ175" s="472">
        <f t="shared" si="293"/>
        <v>260</v>
      </c>
      <c r="BR175" s="546">
        <f t="shared" si="294"/>
        <v>4.2373566788311723E-2</v>
      </c>
      <c r="BS175" s="546">
        <f t="shared" si="295"/>
        <v>5.7564090731291408E-2</v>
      </c>
      <c r="BT175" s="546">
        <f t="shared" si="296"/>
        <v>3.9228552675452832E-2</v>
      </c>
      <c r="BU175" s="546"/>
      <c r="BV175" s="546">
        <f t="shared" si="297"/>
        <v>2.4074074074074074E-2</v>
      </c>
      <c r="BW175" s="472">
        <f t="shared" si="298"/>
        <v>163.24028426913003</v>
      </c>
      <c r="BX175" s="179">
        <f t="shared" si="299"/>
        <v>0.55967324788244643</v>
      </c>
      <c r="BY175" s="6">
        <f t="shared" si="300"/>
        <v>3.25</v>
      </c>
      <c r="BZ175" s="179">
        <f t="shared" si="301"/>
        <v>0.85309153529281478</v>
      </c>
      <c r="CA175" s="6">
        <f t="shared" si="302"/>
        <v>85.309153529281474</v>
      </c>
      <c r="CD175" s="581">
        <f t="shared" si="331"/>
        <v>-50</v>
      </c>
      <c r="CE175">
        <f t="shared" si="332"/>
        <v>-50</v>
      </c>
    </row>
    <row r="176" spans="5:83" x14ac:dyDescent="0.2">
      <c r="E176" s="176">
        <v>66</v>
      </c>
      <c r="F176" s="223">
        <f t="shared" si="333"/>
        <v>0.66</v>
      </c>
      <c r="G176" s="223"/>
      <c r="H176" s="223">
        <f t="shared" si="303"/>
        <v>3.3000000000000003</v>
      </c>
      <c r="I176" s="559">
        <f t="shared" si="304"/>
        <v>12</v>
      </c>
      <c r="J176" s="454">
        <f t="shared" si="305"/>
        <v>15.899999999999999</v>
      </c>
      <c r="K176" s="454">
        <f t="shared" si="306"/>
        <v>27.9</v>
      </c>
      <c r="L176" s="454"/>
      <c r="M176" s="223">
        <f t="shared" si="307"/>
        <v>0.56989247311827951</v>
      </c>
      <c r="N176" s="178">
        <f t="shared" si="308"/>
        <v>4.6161290322580646</v>
      </c>
      <c r="O176" s="178">
        <f t="shared" si="248"/>
        <v>3.3000000000000003</v>
      </c>
      <c r="P176" s="223">
        <f t="shared" si="309"/>
        <v>0.9232258064516129</v>
      </c>
      <c r="Q176" s="223">
        <f t="shared" si="310"/>
        <v>5</v>
      </c>
      <c r="R176" s="223"/>
      <c r="S176" s="178">
        <f t="shared" si="311"/>
        <v>8.4104921633325915</v>
      </c>
      <c r="T176" s="554">
        <f t="shared" si="312"/>
        <v>5</v>
      </c>
      <c r="U176" s="223">
        <f t="shared" si="313"/>
        <v>1.0723270440251573</v>
      </c>
      <c r="V176" s="223">
        <f t="shared" si="314"/>
        <v>2.6808176100628933</v>
      </c>
      <c r="W176" s="223">
        <f t="shared" si="315"/>
        <v>2.0232585736323725</v>
      </c>
      <c r="X176" s="203">
        <f t="shared" si="316"/>
        <v>350</v>
      </c>
      <c r="Y176" s="454">
        <f t="shared" si="283"/>
        <v>212.58159114558694</v>
      </c>
      <c r="AA176" s="223">
        <f t="shared" si="317"/>
        <v>0.65130568356374818</v>
      </c>
      <c r="AB176" s="179">
        <f t="shared" si="318"/>
        <v>1.2288786482334872</v>
      </c>
      <c r="AC176" s="179">
        <f t="shared" si="319"/>
        <v>0.42019721520241832</v>
      </c>
      <c r="AD176" s="179"/>
      <c r="AE176" s="179">
        <f t="shared" si="320"/>
        <v>0.5660377358490567</v>
      </c>
      <c r="AF176" s="563">
        <f t="shared" si="321"/>
        <v>2591.1111111111104</v>
      </c>
      <c r="AG176" s="546">
        <f t="shared" si="322"/>
        <v>8.9150943396226423E-2</v>
      </c>
      <c r="AI176" s="179">
        <f t="shared" si="323"/>
        <v>0.81626326285440176</v>
      </c>
      <c r="AJ176" s="179">
        <f t="shared" si="324"/>
        <v>1.0723270440251573</v>
      </c>
      <c r="AK176" s="179">
        <f t="shared" si="325"/>
        <v>1.7720941066853015</v>
      </c>
      <c r="AM176" s="563">
        <f t="shared" si="326"/>
        <v>660</v>
      </c>
      <c r="AN176" s="472">
        <f t="shared" si="327"/>
        <v>212.58159114558694</v>
      </c>
      <c r="AP176">
        <f t="shared" si="328"/>
        <v>660</v>
      </c>
      <c r="AQ176">
        <f t="shared" si="329"/>
        <v>212.58159114558694</v>
      </c>
      <c r="AS176" s="6">
        <f t="shared" si="249"/>
        <v>4.7040761836952658</v>
      </c>
      <c r="AT176" s="6">
        <f t="shared" si="330"/>
        <v>2.6808176100628933</v>
      </c>
      <c r="AU176" s="6">
        <f t="shared" si="284"/>
        <v>2.0232585736323725</v>
      </c>
      <c r="AV176" s="6"/>
      <c r="AW176" s="179">
        <f t="shared" si="285"/>
        <v>0.56989247311827951</v>
      </c>
      <c r="AX176" s="179">
        <f t="shared" si="245"/>
        <v>3.6666666666666665</v>
      </c>
      <c r="AY176" s="179">
        <f t="shared" si="246"/>
        <v>0.69182389937106936</v>
      </c>
      <c r="AZ176" s="179">
        <f t="shared" si="250"/>
        <v>5.299999999999998</v>
      </c>
      <c r="BA176" s="472">
        <f t="shared" si="243"/>
        <v>35.386792452830193</v>
      </c>
      <c r="BB176" s="6">
        <f t="shared" si="244"/>
        <v>0.51518158124898372</v>
      </c>
      <c r="BD176" s="179">
        <f t="shared" si="251"/>
        <v>0.46737243227384423</v>
      </c>
      <c r="BE176" s="179">
        <f t="shared" si="247"/>
        <v>1.2180816696745229</v>
      </c>
      <c r="BG176" s="546">
        <f t="shared" si="286"/>
        <v>7.6452946657349183E-2</v>
      </c>
      <c r="BH176" s="546">
        <f t="shared" si="287"/>
        <v>4.7699999999999985E-2</v>
      </c>
      <c r="BI176" s="546">
        <f t="shared" si="288"/>
        <v>2.6572698893198364E-3</v>
      </c>
      <c r="BJ176" s="546">
        <f t="shared" si="289"/>
        <v>8.2737818181818183E-3</v>
      </c>
      <c r="BK176">
        <f t="shared" si="290"/>
        <v>3.48E-3</v>
      </c>
      <c r="BM176" s="472">
        <f t="shared" si="291"/>
        <v>138.56399836485082</v>
      </c>
      <c r="BN176" s="546">
        <f t="shared" si="292"/>
        <v>0.26400000000000001</v>
      </c>
      <c r="BQ176" s="472">
        <f t="shared" si="293"/>
        <v>264</v>
      </c>
      <c r="BR176" s="546">
        <f t="shared" si="294"/>
        <v>4.3687398089913822E-2</v>
      </c>
      <c r="BS176" s="546">
        <f t="shared" si="295"/>
        <v>5.9348918159882941E-2</v>
      </c>
      <c r="BT176" s="546">
        <f t="shared" si="296"/>
        <v>3.9228552675452798E-2</v>
      </c>
      <c r="BU176" s="546"/>
      <c r="BV176" s="546">
        <f t="shared" si="297"/>
        <v>2.4444444444444442E-2</v>
      </c>
      <c r="BW176" s="472">
        <f t="shared" si="298"/>
        <v>166.709313369694</v>
      </c>
      <c r="BX176" s="179">
        <f t="shared" si="299"/>
        <v>0.56927331173454487</v>
      </c>
      <c r="BY176" s="6">
        <f t="shared" si="300"/>
        <v>3.3000000000000003</v>
      </c>
      <c r="BZ176" s="179">
        <f t="shared" si="301"/>
        <v>0.85287332636645741</v>
      </c>
      <c r="CA176" s="6">
        <f t="shared" si="302"/>
        <v>85.287332636645743</v>
      </c>
      <c r="CD176" s="581">
        <f t="shared" si="331"/>
        <v>-50</v>
      </c>
      <c r="CE176">
        <f t="shared" si="332"/>
        <v>-50</v>
      </c>
    </row>
    <row r="177" spans="5:83" x14ac:dyDescent="0.2">
      <c r="E177" s="176">
        <v>67</v>
      </c>
      <c r="F177" s="223">
        <f t="shared" si="333"/>
        <v>0.67</v>
      </c>
      <c r="G177" s="223"/>
      <c r="H177" s="223">
        <f t="shared" si="303"/>
        <v>3.35</v>
      </c>
      <c r="I177" s="559">
        <f t="shared" si="304"/>
        <v>12</v>
      </c>
      <c r="J177" s="454">
        <f t="shared" si="305"/>
        <v>15.899999999999999</v>
      </c>
      <c r="K177" s="454">
        <f t="shared" si="306"/>
        <v>27.9</v>
      </c>
      <c r="L177" s="454"/>
      <c r="M177" s="223">
        <f t="shared" si="307"/>
        <v>0.56989247311827951</v>
      </c>
      <c r="N177" s="178">
        <f t="shared" si="308"/>
        <v>4.6161290322580646</v>
      </c>
      <c r="O177" s="178">
        <f t="shared" si="248"/>
        <v>3.35</v>
      </c>
      <c r="P177" s="223">
        <f t="shared" si="309"/>
        <v>0.9232258064516129</v>
      </c>
      <c r="Q177" s="223">
        <f t="shared" si="310"/>
        <v>5</v>
      </c>
      <c r="R177" s="223"/>
      <c r="S177" s="178">
        <f t="shared" si="311"/>
        <v>8.2302284247470947</v>
      </c>
      <c r="T177" s="554">
        <f t="shared" si="312"/>
        <v>5</v>
      </c>
      <c r="U177" s="223">
        <f t="shared" si="313"/>
        <v>1.088574423480084</v>
      </c>
      <c r="V177" s="223">
        <f t="shared" si="314"/>
        <v>2.7214360587002102</v>
      </c>
      <c r="W177" s="223">
        <f t="shared" si="315"/>
        <v>2.0539140065661967</v>
      </c>
      <c r="X177" s="203">
        <f t="shared" si="316"/>
        <v>350</v>
      </c>
      <c r="Y177" s="454">
        <f t="shared" si="283"/>
        <v>209.40873157624981</v>
      </c>
      <c r="AA177" s="223">
        <f t="shared" si="317"/>
        <v>0.65130568356374818</v>
      </c>
      <c r="AB177" s="179">
        <f t="shared" si="318"/>
        <v>1.2288786482334872</v>
      </c>
      <c r="AC177" s="179">
        <f t="shared" si="319"/>
        <v>0.42019721520241832</v>
      </c>
      <c r="AD177" s="179"/>
      <c r="AE177" s="179">
        <f t="shared" si="320"/>
        <v>0.5660377358490567</v>
      </c>
      <c r="AF177" s="563">
        <f t="shared" si="321"/>
        <v>2630.37037037037</v>
      </c>
      <c r="AG177" s="546">
        <f t="shared" si="322"/>
        <v>8.9150943396226423E-2</v>
      </c>
      <c r="AI177" s="179">
        <f t="shared" si="323"/>
        <v>0.82242382770743716</v>
      </c>
      <c r="AJ177" s="179">
        <f t="shared" si="324"/>
        <v>1.088574423480084</v>
      </c>
      <c r="AK177" s="179">
        <f t="shared" si="325"/>
        <v>1.7841292025778399</v>
      </c>
      <c r="AM177" s="563">
        <f t="shared" si="326"/>
        <v>670</v>
      </c>
      <c r="AN177" s="472">
        <f t="shared" si="327"/>
        <v>209.40873157624981</v>
      </c>
      <c r="AP177">
        <f t="shared" si="328"/>
        <v>670</v>
      </c>
      <c r="AQ177">
        <f t="shared" si="329"/>
        <v>209.40873157624981</v>
      </c>
      <c r="AS177" s="6">
        <f t="shared" si="249"/>
        <v>4.7753500652664069</v>
      </c>
      <c r="AT177" s="6">
        <f t="shared" si="330"/>
        <v>2.7214360587002102</v>
      </c>
      <c r="AU177" s="6">
        <f t="shared" si="284"/>
        <v>2.0539140065661967</v>
      </c>
      <c r="AV177" s="6"/>
      <c r="AW177" s="179">
        <f t="shared" si="285"/>
        <v>0.56989247311827951</v>
      </c>
      <c r="AX177" s="179">
        <f t="shared" si="245"/>
        <v>3.7222222222222228</v>
      </c>
      <c r="AY177" s="179">
        <f t="shared" si="246"/>
        <v>0.70230607966457037</v>
      </c>
      <c r="AZ177" s="179">
        <f t="shared" si="250"/>
        <v>5.3</v>
      </c>
      <c r="BA177" s="472">
        <f t="shared" si="243"/>
        <v>36.467243186582813</v>
      </c>
      <c r="BB177" s="6">
        <f t="shared" si="244"/>
        <v>0.53091141373431772</v>
      </c>
      <c r="BD177" s="179">
        <f t="shared" si="251"/>
        <v>0.47445383276284187</v>
      </c>
      <c r="BE177" s="179">
        <f t="shared" si="247"/>
        <v>1.2365374525483792</v>
      </c>
      <c r="BG177" s="546">
        <f t="shared" si="286"/>
        <v>7.8787253798172738E-2</v>
      </c>
      <c r="BH177" s="546">
        <f t="shared" si="287"/>
        <v>4.7699999999999985E-2</v>
      </c>
      <c r="BI177" s="546">
        <f t="shared" si="288"/>
        <v>2.6176091447031222E-3</v>
      </c>
      <c r="BJ177" s="546">
        <f t="shared" si="289"/>
        <v>8.1502925373134315E-3</v>
      </c>
      <c r="BK177">
        <f t="shared" si="290"/>
        <v>3.48E-3</v>
      </c>
      <c r="BM177" s="472">
        <f t="shared" si="291"/>
        <v>140.73515548018929</v>
      </c>
      <c r="BN177" s="546">
        <f t="shared" si="292"/>
        <v>0.26800000000000002</v>
      </c>
      <c r="BQ177" s="472">
        <f t="shared" si="293"/>
        <v>268</v>
      </c>
      <c r="BR177" s="546">
        <f t="shared" si="294"/>
        <v>4.5021287884670143E-2</v>
      </c>
      <c r="BS177" s="546">
        <f t="shared" si="295"/>
        <v>6.1160994862193403E-2</v>
      </c>
      <c r="BT177" s="546">
        <f t="shared" si="296"/>
        <v>3.9228552675452853E-2</v>
      </c>
      <c r="BU177" s="546"/>
      <c r="BV177" s="546">
        <f t="shared" si="297"/>
        <v>2.4814814814814821E-2</v>
      </c>
      <c r="BW177" s="472">
        <f t="shared" si="298"/>
        <v>170.22565023713122</v>
      </c>
      <c r="BX177" s="179">
        <f t="shared" si="299"/>
        <v>0.57896080571732056</v>
      </c>
      <c r="BY177" s="6">
        <f t="shared" si="300"/>
        <v>3.35</v>
      </c>
      <c r="BZ177" s="179">
        <f t="shared" si="301"/>
        <v>0.85264276373670311</v>
      </c>
      <c r="CA177" s="6">
        <f t="shared" si="302"/>
        <v>85.264276373670313</v>
      </c>
      <c r="CD177" s="581">
        <f t="shared" si="331"/>
        <v>-50</v>
      </c>
      <c r="CE177">
        <f t="shared" si="332"/>
        <v>-50</v>
      </c>
    </row>
    <row r="178" spans="5:83" x14ac:dyDescent="0.2">
      <c r="E178" s="176">
        <v>68</v>
      </c>
      <c r="F178" s="223">
        <f t="shared" si="333"/>
        <v>0.68</v>
      </c>
      <c r="G178" s="223"/>
      <c r="H178" s="223">
        <f t="shared" si="303"/>
        <v>3.4000000000000004</v>
      </c>
      <c r="I178" s="559">
        <f t="shared" si="304"/>
        <v>12</v>
      </c>
      <c r="J178" s="454">
        <f t="shared" si="305"/>
        <v>15.899999999999999</v>
      </c>
      <c r="K178" s="454">
        <f t="shared" si="306"/>
        <v>27.9</v>
      </c>
      <c r="L178" s="454"/>
      <c r="M178" s="223">
        <f t="shared" si="307"/>
        <v>0.56989247311827951</v>
      </c>
      <c r="N178" s="178">
        <f t="shared" si="308"/>
        <v>4.6161290322580646</v>
      </c>
      <c r="O178" s="178">
        <f t="shared" si="248"/>
        <v>3.4000000000000004</v>
      </c>
      <c r="P178" s="223">
        <f t="shared" si="309"/>
        <v>0.9232258064516129</v>
      </c>
      <c r="Q178" s="223">
        <f t="shared" si="310"/>
        <v>5</v>
      </c>
      <c r="R178" s="223"/>
      <c r="S178" s="178">
        <f t="shared" si="311"/>
        <v>8.0553846645294129</v>
      </c>
      <c r="T178" s="554">
        <f t="shared" si="312"/>
        <v>5</v>
      </c>
      <c r="U178" s="223">
        <f t="shared" si="313"/>
        <v>1.1048218029350108</v>
      </c>
      <c r="V178" s="223">
        <f t="shared" si="314"/>
        <v>2.7620545073375271</v>
      </c>
      <c r="W178" s="223">
        <f t="shared" si="315"/>
        <v>2.0845694395000205</v>
      </c>
      <c r="X178" s="203">
        <f t="shared" si="316"/>
        <v>350</v>
      </c>
      <c r="Y178" s="454">
        <f t="shared" si="283"/>
        <v>206.32919140601081</v>
      </c>
      <c r="AA178" s="223">
        <f t="shared" si="317"/>
        <v>0.65130568356374818</v>
      </c>
      <c r="AB178" s="179">
        <f t="shared" si="318"/>
        <v>1.2288786482334872</v>
      </c>
      <c r="AC178" s="179">
        <f t="shared" si="319"/>
        <v>0.42019721520241832</v>
      </c>
      <c r="AD178" s="179"/>
      <c r="AE178" s="179">
        <f t="shared" si="320"/>
        <v>0.5660377358490567</v>
      </c>
      <c r="AF178" s="563">
        <f t="shared" si="321"/>
        <v>2669.6296296296291</v>
      </c>
      <c r="AG178" s="546">
        <f t="shared" si="322"/>
        <v>8.9150943396226423E-2</v>
      </c>
      <c r="AI178" s="179">
        <f t="shared" si="323"/>
        <v>0.82853858719808005</v>
      </c>
      <c r="AJ178" s="179">
        <f t="shared" si="324"/>
        <v>1.1048218029350108</v>
      </c>
      <c r="AK178" s="179">
        <f t="shared" si="325"/>
        <v>1.7961642984703783</v>
      </c>
      <c r="AM178" s="563">
        <f t="shared" si="326"/>
        <v>680</v>
      </c>
      <c r="AN178" s="472">
        <f t="shared" si="327"/>
        <v>206.32919140601081</v>
      </c>
      <c r="AP178">
        <f t="shared" si="328"/>
        <v>680</v>
      </c>
      <c r="AQ178">
        <f t="shared" si="329"/>
        <v>206.32919140601081</v>
      </c>
      <c r="AS178" s="6">
        <f t="shared" si="249"/>
        <v>4.846623946837548</v>
      </c>
      <c r="AT178" s="6">
        <f t="shared" si="330"/>
        <v>2.7620545073375271</v>
      </c>
      <c r="AU178" s="6">
        <f t="shared" si="284"/>
        <v>2.0845694395000209</v>
      </c>
      <c r="AV178" s="6"/>
      <c r="AW178" s="179">
        <f t="shared" si="285"/>
        <v>0.56989247311827951</v>
      </c>
      <c r="AX178" s="179">
        <f t="shared" si="245"/>
        <v>3.7777777777777781</v>
      </c>
      <c r="AY178" s="179">
        <f t="shared" si="246"/>
        <v>0.7127882599580716</v>
      </c>
      <c r="AZ178" s="179">
        <f t="shared" si="250"/>
        <v>5.299999999999998</v>
      </c>
      <c r="BA178" s="472">
        <f t="shared" si="243"/>
        <v>37.563941299790372</v>
      </c>
      <c r="BB178" s="6">
        <f t="shared" si="244"/>
        <v>0.54687778505401774</v>
      </c>
      <c r="BD178" s="179">
        <f t="shared" si="251"/>
        <v>0.48153523325183956</v>
      </c>
      <c r="BE178" s="179">
        <f t="shared" si="247"/>
        <v>1.254993235422236</v>
      </c>
      <c r="BG178" s="546">
        <f t="shared" si="286"/>
        <v>8.1156663302016235E-2</v>
      </c>
      <c r="BH178" s="546">
        <f t="shared" si="287"/>
        <v>4.7699999999999979E-2</v>
      </c>
      <c r="BI178" s="546">
        <f t="shared" si="288"/>
        <v>2.5791148925751349E-3</v>
      </c>
      <c r="BJ178" s="546">
        <f t="shared" si="289"/>
        <v>8.0304352941176441E-3</v>
      </c>
      <c r="BK178">
        <f t="shared" si="290"/>
        <v>3.48E-3</v>
      </c>
      <c r="BM178" s="472">
        <f t="shared" si="291"/>
        <v>142.94621348870902</v>
      </c>
      <c r="BN178" s="546">
        <f t="shared" si="292"/>
        <v>0.27200000000000002</v>
      </c>
      <c r="BQ178" s="472">
        <f t="shared" si="293"/>
        <v>272</v>
      </c>
      <c r="BR178" s="546">
        <f t="shared" si="294"/>
        <v>4.6375236172580714E-2</v>
      </c>
      <c r="BS178" s="546">
        <f t="shared" si="295"/>
        <v>6.3000320838222865E-2</v>
      </c>
      <c r="BT178" s="546">
        <f t="shared" si="296"/>
        <v>3.9228552675452798E-2</v>
      </c>
      <c r="BU178" s="546"/>
      <c r="BV178" s="546">
        <f t="shared" si="297"/>
        <v>2.5185185185185185E-2</v>
      </c>
      <c r="BW178" s="472">
        <f t="shared" si="298"/>
        <v>173.78929487144157</v>
      </c>
      <c r="BX178" s="179">
        <f t="shared" si="299"/>
        <v>0.58873550836015065</v>
      </c>
      <c r="BY178" s="6">
        <f t="shared" si="300"/>
        <v>3.4000000000000004</v>
      </c>
      <c r="BZ178" s="179">
        <f t="shared" si="301"/>
        <v>0.85240046447647477</v>
      </c>
      <c r="CA178" s="6">
        <f t="shared" si="302"/>
        <v>85.240046447647472</v>
      </c>
      <c r="CD178" s="581">
        <f t="shared" si="331"/>
        <v>-50</v>
      </c>
      <c r="CE178">
        <f t="shared" si="332"/>
        <v>-50</v>
      </c>
    </row>
    <row r="179" spans="5:83" x14ac:dyDescent="0.2">
      <c r="E179" s="176">
        <v>69</v>
      </c>
      <c r="F179" s="223">
        <f t="shared" si="333"/>
        <v>0.69</v>
      </c>
      <c r="G179" s="223"/>
      <c r="H179" s="223">
        <f t="shared" si="303"/>
        <v>3.4499999999999997</v>
      </c>
      <c r="I179" s="559">
        <f t="shared" si="304"/>
        <v>12</v>
      </c>
      <c r="J179" s="454">
        <f t="shared" si="305"/>
        <v>15.899999999999999</v>
      </c>
      <c r="K179" s="454">
        <f t="shared" si="306"/>
        <v>27.9</v>
      </c>
      <c r="L179" s="454"/>
      <c r="M179" s="223">
        <f t="shared" si="307"/>
        <v>0.56989247311827951</v>
      </c>
      <c r="N179" s="178">
        <f t="shared" si="308"/>
        <v>4.6161290322580646</v>
      </c>
      <c r="O179" s="178">
        <f t="shared" si="248"/>
        <v>3.4499999999999997</v>
      </c>
      <c r="P179" s="223">
        <f t="shared" si="309"/>
        <v>0.9232258064516129</v>
      </c>
      <c r="Q179" s="223">
        <f t="shared" si="310"/>
        <v>5</v>
      </c>
      <c r="R179" s="223"/>
      <c r="S179" s="178">
        <f t="shared" si="311"/>
        <v>7.8857270645669528</v>
      </c>
      <c r="T179" s="554">
        <f t="shared" si="312"/>
        <v>5</v>
      </c>
      <c r="U179" s="223">
        <f t="shared" si="313"/>
        <v>1.121069182389937</v>
      </c>
      <c r="V179" s="223">
        <f t="shared" si="314"/>
        <v>2.8026729559748427</v>
      </c>
      <c r="W179" s="223">
        <f t="shared" si="315"/>
        <v>2.1152248724338438</v>
      </c>
      <c r="X179" s="203">
        <f t="shared" si="316"/>
        <v>350</v>
      </c>
      <c r="Y179" s="454">
        <f t="shared" si="283"/>
        <v>203.33891326969189</v>
      </c>
      <c r="AA179" s="223">
        <f t="shared" si="317"/>
        <v>0.65130568356374818</v>
      </c>
      <c r="AB179" s="179">
        <f t="shared" si="318"/>
        <v>1.2288786482334872</v>
      </c>
      <c r="AC179" s="179">
        <f t="shared" si="319"/>
        <v>0.42019721520241832</v>
      </c>
      <c r="AD179" s="179"/>
      <c r="AE179" s="179">
        <f t="shared" si="320"/>
        <v>0.5660377358490567</v>
      </c>
      <c r="AF179" s="563">
        <f t="shared" si="321"/>
        <v>2708.8888888888882</v>
      </c>
      <c r="AG179" s="546">
        <f t="shared" si="322"/>
        <v>8.9150943396226423E-2</v>
      </c>
      <c r="AI179" s="179">
        <f t="shared" si="323"/>
        <v>0.83460854810589402</v>
      </c>
      <c r="AJ179" s="179">
        <f t="shared" si="324"/>
        <v>1.121069182389937</v>
      </c>
      <c r="AK179" s="179">
        <f t="shared" si="325"/>
        <v>1.8081993943629162</v>
      </c>
      <c r="AM179" s="563">
        <f t="shared" si="326"/>
        <v>690</v>
      </c>
      <c r="AN179" s="472">
        <f t="shared" si="327"/>
        <v>203.33891326969189</v>
      </c>
      <c r="AP179">
        <f t="shared" si="328"/>
        <v>690</v>
      </c>
      <c r="AQ179">
        <f t="shared" si="329"/>
        <v>203.33891326969189</v>
      </c>
      <c r="AS179" s="6">
        <f t="shared" si="249"/>
        <v>4.9178978284086865</v>
      </c>
      <c r="AT179" s="6">
        <f t="shared" si="330"/>
        <v>2.8026729559748427</v>
      </c>
      <c r="AU179" s="6">
        <f t="shared" si="284"/>
        <v>2.1152248724338438</v>
      </c>
      <c r="AV179" s="6"/>
      <c r="AW179" s="179">
        <f t="shared" si="285"/>
        <v>0.56989247311827951</v>
      </c>
      <c r="AX179" s="179">
        <f t="shared" si="245"/>
        <v>3.8333333333333326</v>
      </c>
      <c r="AY179" s="179">
        <f t="shared" si="246"/>
        <v>0.72327044025157228</v>
      </c>
      <c r="AZ179" s="179">
        <f t="shared" si="250"/>
        <v>5.2999999999999989</v>
      </c>
      <c r="BA179" s="472">
        <f t="shared" si="243"/>
        <v>38.676886792452827</v>
      </c>
      <c r="BB179" s="6">
        <f t="shared" si="244"/>
        <v>0.56308069520808335</v>
      </c>
      <c r="BD179" s="179">
        <f t="shared" si="251"/>
        <v>0.48861663374083703</v>
      </c>
      <c r="BE179" s="179">
        <f t="shared" si="247"/>
        <v>1.2734490182960918</v>
      </c>
      <c r="BG179" s="546">
        <f t="shared" si="286"/>
        <v>8.3561175168879537E-2</v>
      </c>
      <c r="BH179" s="546">
        <f t="shared" si="287"/>
        <v>4.7699999999999985E-2</v>
      </c>
      <c r="BI179" s="546">
        <f t="shared" si="288"/>
        <v>2.5417364158711485E-3</v>
      </c>
      <c r="BJ179" s="546">
        <f t="shared" si="289"/>
        <v>7.9140521739130432E-3</v>
      </c>
      <c r="BK179">
        <f t="shared" si="290"/>
        <v>3.48E-3</v>
      </c>
      <c r="BM179" s="472">
        <f t="shared" si="291"/>
        <v>145.19696375866374</v>
      </c>
      <c r="BN179" s="546">
        <f t="shared" si="292"/>
        <v>0.27599999999999997</v>
      </c>
      <c r="BQ179" s="472">
        <f t="shared" si="293"/>
        <v>275.99999999999994</v>
      </c>
      <c r="BR179" s="546">
        <f t="shared" si="294"/>
        <v>4.7749242953645459E-2</v>
      </c>
      <c r="BS179" s="546">
        <f t="shared" si="295"/>
        <v>6.4866896087971193E-2</v>
      </c>
      <c r="BT179" s="546">
        <f t="shared" si="296"/>
        <v>3.9228552675452874E-2</v>
      </c>
      <c r="BU179" s="546"/>
      <c r="BV179" s="546">
        <f t="shared" si="297"/>
        <v>2.555555555555555E-2</v>
      </c>
      <c r="BW179" s="472">
        <f t="shared" si="298"/>
        <v>177.40024727262511</v>
      </c>
      <c r="BX179" s="179">
        <f t="shared" si="299"/>
        <v>0.59859721103128882</v>
      </c>
      <c r="BY179" s="6">
        <f t="shared" si="300"/>
        <v>3.4499999999999997</v>
      </c>
      <c r="BZ179" s="179">
        <f t="shared" si="301"/>
        <v>0.85214700800556797</v>
      </c>
      <c r="CA179" s="6">
        <f t="shared" si="302"/>
        <v>85.214700800556798</v>
      </c>
      <c r="CD179" s="581">
        <f t="shared" si="331"/>
        <v>-50</v>
      </c>
      <c r="CE179">
        <f t="shared" si="332"/>
        <v>-50</v>
      </c>
    </row>
    <row r="180" spans="5:83" x14ac:dyDescent="0.2">
      <c r="E180" s="176">
        <v>70</v>
      </c>
      <c r="F180" s="223">
        <f t="shared" si="333"/>
        <v>0.7</v>
      </c>
      <c r="G180" s="223"/>
      <c r="H180" s="223">
        <f t="shared" si="303"/>
        <v>3.5</v>
      </c>
      <c r="I180" s="559">
        <f t="shared" si="304"/>
        <v>12</v>
      </c>
      <c r="J180" s="454">
        <f t="shared" si="305"/>
        <v>15.899999999999999</v>
      </c>
      <c r="K180" s="454">
        <f t="shared" si="306"/>
        <v>27.9</v>
      </c>
      <c r="L180" s="454"/>
      <c r="M180" s="223">
        <f t="shared" si="307"/>
        <v>0.56989247311827951</v>
      </c>
      <c r="N180" s="178">
        <f t="shared" si="308"/>
        <v>4.6161290322580646</v>
      </c>
      <c r="O180" s="178">
        <f t="shared" si="248"/>
        <v>3.5</v>
      </c>
      <c r="P180" s="223">
        <f t="shared" si="309"/>
        <v>0.9232258064516129</v>
      </c>
      <c r="Q180" s="223">
        <f t="shared" si="310"/>
        <v>5</v>
      </c>
      <c r="R180" s="223"/>
      <c r="S180" s="178">
        <f t="shared" si="311"/>
        <v>7.7210351958479722</v>
      </c>
      <c r="T180" s="554">
        <f t="shared" si="312"/>
        <v>5</v>
      </c>
      <c r="U180" s="223">
        <f t="shared" si="313"/>
        <v>1.1373165618448637</v>
      </c>
      <c r="V180" s="223">
        <f t="shared" si="314"/>
        <v>2.8432914046121591</v>
      </c>
      <c r="W180" s="223">
        <f t="shared" si="315"/>
        <v>2.1458803053676676</v>
      </c>
      <c r="X180" s="203">
        <f t="shared" si="316"/>
        <v>350</v>
      </c>
      <c r="Y180" s="454">
        <f t="shared" si="283"/>
        <v>200.43407165155344</v>
      </c>
      <c r="AA180" s="223">
        <f t="shared" si="317"/>
        <v>0.65130568356374818</v>
      </c>
      <c r="AB180" s="179">
        <f t="shared" si="318"/>
        <v>1.2288786482334872</v>
      </c>
      <c r="AC180" s="179">
        <f t="shared" si="319"/>
        <v>0.42019721520241832</v>
      </c>
      <c r="AD180" s="179"/>
      <c r="AE180" s="179">
        <f t="shared" si="320"/>
        <v>0.5660377358490567</v>
      </c>
      <c r="AF180" s="563">
        <f t="shared" si="321"/>
        <v>2748.1481481481474</v>
      </c>
      <c r="AG180" s="546">
        <f t="shared" si="322"/>
        <v>8.9150943396226423E-2</v>
      </c>
      <c r="AI180" s="179">
        <f t="shared" si="323"/>
        <v>0.84063468086123272</v>
      </c>
      <c r="AJ180" s="179">
        <f t="shared" si="324"/>
        <v>1.1373165618448637</v>
      </c>
      <c r="AK180" s="179">
        <f t="shared" si="325"/>
        <v>1.8202344902554546</v>
      </c>
      <c r="AM180" s="563">
        <f t="shared" si="326"/>
        <v>700</v>
      </c>
      <c r="AN180" s="472">
        <f t="shared" si="327"/>
        <v>200.43407165155344</v>
      </c>
      <c r="AP180">
        <f t="shared" si="328"/>
        <v>700</v>
      </c>
      <c r="AQ180">
        <f t="shared" si="329"/>
        <v>200.43407165155344</v>
      </c>
      <c r="AS180" s="6">
        <f t="shared" si="249"/>
        <v>4.9891717099798276</v>
      </c>
      <c r="AT180" s="6">
        <f t="shared" si="330"/>
        <v>2.8432914046121591</v>
      </c>
      <c r="AU180" s="6">
        <f t="shared" si="284"/>
        <v>2.1458803053676685</v>
      </c>
      <c r="AV180" s="6"/>
      <c r="AW180" s="179">
        <f t="shared" si="285"/>
        <v>0.5698924731182794</v>
      </c>
      <c r="AX180" s="179">
        <f t="shared" si="245"/>
        <v>3.8888888888888884</v>
      </c>
      <c r="AY180" s="179">
        <f t="shared" si="246"/>
        <v>0.73375262054507362</v>
      </c>
      <c r="AZ180" s="179">
        <f t="shared" si="250"/>
        <v>5.2999999999999972</v>
      </c>
      <c r="BA180" s="472">
        <f t="shared" si="243"/>
        <v>39.806079664570227</v>
      </c>
      <c r="BB180" s="6">
        <f t="shared" si="244"/>
        <v>0.57952014419651532</v>
      </c>
      <c r="BD180" s="179">
        <f t="shared" si="251"/>
        <v>0.49569803422983466</v>
      </c>
      <c r="BE180" s="179">
        <f t="shared" si="247"/>
        <v>1.2919048011699483</v>
      </c>
      <c r="BG180" s="546">
        <f t="shared" si="286"/>
        <v>8.6000789398762809E-2</v>
      </c>
      <c r="BH180" s="546">
        <f t="shared" si="287"/>
        <v>4.7699999999999985E-2</v>
      </c>
      <c r="BI180" s="546">
        <f t="shared" si="288"/>
        <v>2.5054258956444179E-3</v>
      </c>
      <c r="BJ180" s="546">
        <f t="shared" si="289"/>
        <v>7.800994285714285E-3</v>
      </c>
      <c r="BK180">
        <f t="shared" si="290"/>
        <v>3.48E-3</v>
      </c>
      <c r="BM180" s="472">
        <f t="shared" si="291"/>
        <v>147.48720958012152</v>
      </c>
      <c r="BN180" s="546">
        <f t="shared" si="292"/>
        <v>0.27999999999999997</v>
      </c>
      <c r="BQ180" s="472">
        <f t="shared" si="293"/>
        <v>279.99999999999994</v>
      </c>
      <c r="BR180" s="546">
        <f t="shared" si="294"/>
        <v>4.9143308227864474E-2</v>
      </c>
      <c r="BS180" s="546">
        <f t="shared" si="295"/>
        <v>6.6760720611438548E-2</v>
      </c>
      <c r="BT180" s="546">
        <f t="shared" si="296"/>
        <v>3.9228552675452839E-2</v>
      </c>
      <c r="BU180" s="546"/>
      <c r="BV180" s="546">
        <f t="shared" si="297"/>
        <v>2.5925925925925925E-2</v>
      </c>
      <c r="BW180" s="472">
        <f t="shared" si="298"/>
        <v>181.05850744068181</v>
      </c>
      <c r="BX180" s="179">
        <f t="shared" si="299"/>
        <v>0.60854571702080329</v>
      </c>
      <c r="BY180" s="6">
        <f t="shared" si="300"/>
        <v>3.5</v>
      </c>
      <c r="BZ180" s="179">
        <f t="shared" si="301"/>
        <v>0.85188293889496425</v>
      </c>
      <c r="CA180" s="6">
        <f t="shared" si="302"/>
        <v>85.188293889496421</v>
      </c>
      <c r="CD180" s="581">
        <f t="shared" si="331"/>
        <v>-50</v>
      </c>
      <c r="CE180">
        <f t="shared" si="332"/>
        <v>-50</v>
      </c>
    </row>
    <row r="181" spans="5:83" x14ac:dyDescent="0.2">
      <c r="E181" s="176">
        <v>71</v>
      </c>
      <c r="F181" s="223">
        <f t="shared" si="333"/>
        <v>0.71</v>
      </c>
      <c r="G181" s="223"/>
      <c r="H181" s="223">
        <f t="shared" si="303"/>
        <v>3.55</v>
      </c>
      <c r="I181" s="559">
        <f t="shared" si="304"/>
        <v>12</v>
      </c>
      <c r="J181" s="454">
        <f t="shared" si="305"/>
        <v>15.899999999999999</v>
      </c>
      <c r="K181" s="454">
        <f t="shared" si="306"/>
        <v>27.9</v>
      </c>
      <c r="L181" s="454"/>
      <c r="M181" s="223">
        <f t="shared" si="307"/>
        <v>0.56989247311827951</v>
      </c>
      <c r="N181" s="178">
        <f t="shared" si="308"/>
        <v>4.6161290322580646</v>
      </c>
      <c r="O181" s="178">
        <f t="shared" si="248"/>
        <v>3.55</v>
      </c>
      <c r="P181" s="223">
        <f t="shared" si="309"/>
        <v>0.9232258064516129</v>
      </c>
      <c r="Q181" s="223">
        <f t="shared" si="310"/>
        <v>5</v>
      </c>
      <c r="R181" s="223"/>
      <c r="S181" s="178">
        <f t="shared" si="311"/>
        <v>7.5611010757742037</v>
      </c>
      <c r="T181" s="554">
        <f t="shared" si="312"/>
        <v>5</v>
      </c>
      <c r="U181" s="223">
        <f t="shared" si="313"/>
        <v>1.1535639412997905</v>
      </c>
      <c r="V181" s="223">
        <f t="shared" si="314"/>
        <v>2.883909853249476</v>
      </c>
      <c r="W181" s="223">
        <f t="shared" si="315"/>
        <v>2.1765357383014918</v>
      </c>
      <c r="X181" s="203">
        <f t="shared" si="316"/>
        <v>350</v>
      </c>
      <c r="Y181" s="454">
        <f t="shared" si="283"/>
        <v>197.61105655786957</v>
      </c>
      <c r="AA181" s="223">
        <f t="shared" si="317"/>
        <v>0.65130568356374818</v>
      </c>
      <c r="AB181" s="179">
        <f t="shared" si="318"/>
        <v>1.2288786482334872</v>
      </c>
      <c r="AC181" s="179">
        <f t="shared" si="319"/>
        <v>0.42019721520241832</v>
      </c>
      <c r="AD181" s="179"/>
      <c r="AE181" s="179">
        <f t="shared" si="320"/>
        <v>0.5660377358490567</v>
      </c>
      <c r="AF181" s="563">
        <f t="shared" si="321"/>
        <v>2787.4074074074069</v>
      </c>
      <c r="AG181" s="546">
        <f t="shared" si="322"/>
        <v>8.9150943396226423E-2</v>
      </c>
      <c r="AI181" s="179">
        <f t="shared" si="323"/>
        <v>0.8466179213564432</v>
      </c>
      <c r="AJ181" s="179">
        <f t="shared" si="324"/>
        <v>1.1535639412997905</v>
      </c>
      <c r="AK181" s="179">
        <f t="shared" si="325"/>
        <v>1.832269586147993</v>
      </c>
      <c r="AM181" s="563">
        <f t="shared" si="326"/>
        <v>710</v>
      </c>
      <c r="AN181" s="472">
        <f t="shared" si="327"/>
        <v>197.61105655786957</v>
      </c>
      <c r="AP181">
        <f t="shared" si="328"/>
        <v>710</v>
      </c>
      <c r="AQ181">
        <f t="shared" si="329"/>
        <v>197.61105655786957</v>
      </c>
      <c r="AS181" s="6">
        <f t="shared" si="249"/>
        <v>5.060445591550967</v>
      </c>
      <c r="AT181" s="6">
        <f t="shared" si="330"/>
        <v>2.883909853249476</v>
      </c>
      <c r="AU181" s="6">
        <f t="shared" si="284"/>
        <v>2.1765357383014909</v>
      </c>
      <c r="AV181" s="6"/>
      <c r="AW181" s="179">
        <f t="shared" si="285"/>
        <v>0.56989247311827962</v>
      </c>
      <c r="AX181" s="179">
        <f t="shared" si="245"/>
        <v>3.9444444444444446</v>
      </c>
      <c r="AY181" s="179">
        <f t="shared" si="246"/>
        <v>0.74423480083857441</v>
      </c>
      <c r="AZ181" s="179">
        <f t="shared" si="250"/>
        <v>5.3000000000000007</v>
      </c>
      <c r="BA181" s="472">
        <f t="shared" ref="BA181:BA244" si="334">F181*AT181/Vout_ripple*1000</f>
        <v>40.951519916142566</v>
      </c>
      <c r="BB181" s="6">
        <f t="shared" ref="BB181:BB244" si="335">H181/Efficiency/I181*AU181/Vinripple1</f>
        <v>0.59619613201931254</v>
      </c>
      <c r="BD181" s="179">
        <f t="shared" si="251"/>
        <v>0.50277943471883246</v>
      </c>
      <c r="BE181" s="179">
        <f t="shared" si="247"/>
        <v>1.3103605840438048</v>
      </c>
      <c r="BG181" s="546">
        <f t="shared" si="286"/>
        <v>8.8475505991666051E-2</v>
      </c>
      <c r="BH181" s="546">
        <f t="shared" si="287"/>
        <v>4.7699999999999992E-2</v>
      </c>
      <c r="BI181" s="546">
        <f t="shared" si="288"/>
        <v>2.4701382069733692E-3</v>
      </c>
      <c r="BJ181" s="546">
        <f t="shared" si="289"/>
        <v>7.6911211267605634E-3</v>
      </c>
      <c r="BK181">
        <f t="shared" si="290"/>
        <v>3.48E-3</v>
      </c>
      <c r="BM181" s="472">
        <f t="shared" si="291"/>
        <v>149.81676532540001</v>
      </c>
      <c r="BN181" s="546">
        <f t="shared" si="292"/>
        <v>0.28399999999999997</v>
      </c>
      <c r="BQ181" s="472">
        <f t="shared" si="293"/>
        <v>284</v>
      </c>
      <c r="BR181" s="546">
        <f t="shared" si="294"/>
        <v>5.0557431995237746E-2</v>
      </c>
      <c r="BS181" s="546">
        <f t="shared" si="295"/>
        <v>6.8681794408624861E-2</v>
      </c>
      <c r="BT181" s="546">
        <f t="shared" si="296"/>
        <v>3.9228552675452812E-2</v>
      </c>
      <c r="BU181" s="546"/>
      <c r="BV181" s="546">
        <f t="shared" si="297"/>
        <v>2.62962962962963E-2</v>
      </c>
      <c r="BW181" s="472">
        <f t="shared" si="298"/>
        <v>184.7640753756117</v>
      </c>
      <c r="BX181" s="179">
        <f t="shared" si="299"/>
        <v>0.6185808407010116</v>
      </c>
      <c r="BY181" s="6">
        <f t="shared" si="300"/>
        <v>3.55</v>
      </c>
      <c r="BZ181" s="179">
        <f t="shared" si="301"/>
        <v>0.85160876942547492</v>
      </c>
      <c r="CA181" s="6">
        <f t="shared" si="302"/>
        <v>85.160876942547489</v>
      </c>
      <c r="CD181" s="581">
        <f t="shared" si="331"/>
        <v>-50</v>
      </c>
      <c r="CE181">
        <f t="shared" si="332"/>
        <v>-50</v>
      </c>
    </row>
    <row r="182" spans="5:83" x14ac:dyDescent="0.2">
      <c r="E182" s="176">
        <v>72</v>
      </c>
      <c r="F182" s="223">
        <f t="shared" si="333"/>
        <v>0.72</v>
      </c>
      <c r="G182" s="223"/>
      <c r="H182" s="223">
        <f t="shared" si="303"/>
        <v>3.5999999999999996</v>
      </c>
      <c r="I182" s="559">
        <f t="shared" si="304"/>
        <v>12</v>
      </c>
      <c r="J182" s="454">
        <f t="shared" si="305"/>
        <v>15.899999999999999</v>
      </c>
      <c r="K182" s="454">
        <f t="shared" si="306"/>
        <v>27.9</v>
      </c>
      <c r="L182" s="454"/>
      <c r="M182" s="223">
        <f t="shared" si="307"/>
        <v>0.56989247311827951</v>
      </c>
      <c r="N182" s="178">
        <f t="shared" si="308"/>
        <v>4.6161290322580646</v>
      </c>
      <c r="O182" s="178">
        <f t="shared" si="248"/>
        <v>3.5999999999999996</v>
      </c>
      <c r="P182" s="223">
        <f t="shared" si="309"/>
        <v>0.9232258064516129</v>
      </c>
      <c r="Q182" s="223">
        <f t="shared" si="310"/>
        <v>5</v>
      </c>
      <c r="R182" s="223"/>
      <c r="S182" s="178">
        <f t="shared" si="311"/>
        <v>7.4057283040169555</v>
      </c>
      <c r="T182" s="554">
        <f t="shared" si="312"/>
        <v>5</v>
      </c>
      <c r="U182" s="223">
        <f t="shared" si="313"/>
        <v>1.1698113207547169</v>
      </c>
      <c r="V182" s="223">
        <f t="shared" si="314"/>
        <v>2.924528301886792</v>
      </c>
      <c r="W182" s="223">
        <f t="shared" si="315"/>
        <v>2.2071911712353152</v>
      </c>
      <c r="X182" s="203">
        <f t="shared" si="316"/>
        <v>350</v>
      </c>
      <c r="Y182" s="454">
        <f t="shared" si="283"/>
        <v>194.86645855012142</v>
      </c>
      <c r="AA182" s="223">
        <f t="shared" si="317"/>
        <v>0.65130568356374818</v>
      </c>
      <c r="AB182" s="179">
        <f t="shared" si="318"/>
        <v>1.2288786482334872</v>
      </c>
      <c r="AC182" s="179">
        <f t="shared" si="319"/>
        <v>0.42019721520241832</v>
      </c>
      <c r="AD182" s="179"/>
      <c r="AE182" s="179">
        <f t="shared" si="320"/>
        <v>0.5660377358490567</v>
      </c>
      <c r="AF182" s="563">
        <f t="shared" si="321"/>
        <v>2826.6666666666661</v>
      </c>
      <c r="AG182" s="546">
        <f t="shared" si="322"/>
        <v>8.9150943396226423E-2</v>
      </c>
      <c r="AI182" s="179">
        <f t="shared" si="323"/>
        <v>0.85255917264266345</v>
      </c>
      <c r="AJ182" s="179">
        <f t="shared" si="324"/>
        <v>1.1698113207547169</v>
      </c>
      <c r="AK182" s="179">
        <f t="shared" si="325"/>
        <v>1.8443046820405309</v>
      </c>
      <c r="AM182" s="563">
        <f t="shared" si="326"/>
        <v>720</v>
      </c>
      <c r="AN182" s="472">
        <f t="shared" si="327"/>
        <v>194.86645855012142</v>
      </c>
      <c r="AP182">
        <f t="shared" si="328"/>
        <v>720</v>
      </c>
      <c r="AQ182">
        <f t="shared" si="329"/>
        <v>194.86645855012142</v>
      </c>
      <c r="AS182" s="6">
        <f t="shared" si="249"/>
        <v>5.1317194731221072</v>
      </c>
      <c r="AT182" s="6">
        <f t="shared" si="330"/>
        <v>2.924528301886792</v>
      </c>
      <c r="AU182" s="6">
        <f t="shared" si="284"/>
        <v>2.2071911712353152</v>
      </c>
      <c r="AV182" s="6"/>
      <c r="AW182" s="179">
        <f t="shared" si="285"/>
        <v>0.56989247311827951</v>
      </c>
      <c r="AX182" s="179">
        <f t="shared" si="245"/>
        <v>4</v>
      </c>
      <c r="AY182" s="179">
        <f t="shared" si="246"/>
        <v>0.75471698113207553</v>
      </c>
      <c r="AZ182" s="179">
        <f t="shared" si="250"/>
        <v>5.3</v>
      </c>
      <c r="BA182" s="472">
        <f t="shared" si="334"/>
        <v>42.1132075471698</v>
      </c>
      <c r="BB182" s="6">
        <f t="shared" si="335"/>
        <v>0.61310865867647635</v>
      </c>
      <c r="BD182" s="179">
        <f t="shared" si="251"/>
        <v>0.50986083520782999</v>
      </c>
      <c r="BE182" s="179">
        <f t="shared" si="247"/>
        <v>1.3288163669176611</v>
      </c>
      <c r="BG182" s="546">
        <f t="shared" si="286"/>
        <v>9.0985324947589083E-2</v>
      </c>
      <c r="BH182" s="546">
        <f t="shared" si="287"/>
        <v>4.7699999999999999E-2</v>
      </c>
      <c r="BI182" s="546">
        <f t="shared" si="288"/>
        <v>2.4358307318765177E-3</v>
      </c>
      <c r="BJ182" s="546">
        <f t="shared" si="289"/>
        <v>7.5843000000000013E-3</v>
      </c>
      <c r="BK182">
        <f t="shared" si="290"/>
        <v>3.48E-3</v>
      </c>
      <c r="BM182" s="472">
        <f t="shared" si="291"/>
        <v>152.1854556794656</v>
      </c>
      <c r="BN182" s="546">
        <f t="shared" si="292"/>
        <v>0.28799999999999998</v>
      </c>
      <c r="BQ182" s="472">
        <f t="shared" si="293"/>
        <v>288</v>
      </c>
      <c r="BR182" s="546">
        <f t="shared" si="294"/>
        <v>5.1991614255765199E-2</v>
      </c>
      <c r="BS182" s="546">
        <f t="shared" si="295"/>
        <v>7.0630117479530088E-2</v>
      </c>
      <c r="BT182" s="546">
        <f t="shared" si="296"/>
        <v>3.9228552675452839E-2</v>
      </c>
      <c r="BU182" s="546"/>
      <c r="BV182" s="546">
        <f t="shared" si="297"/>
        <v>2.6666666666666668E-2</v>
      </c>
      <c r="BW182" s="472">
        <f t="shared" si="298"/>
        <v>188.51695107741477</v>
      </c>
      <c r="BX182" s="179">
        <f t="shared" si="299"/>
        <v>0.62870240675688038</v>
      </c>
      <c r="BY182" s="6">
        <f t="shared" si="300"/>
        <v>3.5999999999999996</v>
      </c>
      <c r="BZ182" s="179">
        <f t="shared" si="301"/>
        <v>0.85132498192535355</v>
      </c>
      <c r="CA182" s="6">
        <f t="shared" si="302"/>
        <v>85.132498192535351</v>
      </c>
      <c r="CD182" s="581">
        <f t="shared" si="331"/>
        <v>-50</v>
      </c>
      <c r="CE182">
        <f t="shared" si="332"/>
        <v>-50</v>
      </c>
    </row>
    <row r="183" spans="5:83" x14ac:dyDescent="0.2">
      <c r="E183" s="176">
        <v>73</v>
      </c>
      <c r="F183" s="223">
        <f t="shared" si="333"/>
        <v>0.73</v>
      </c>
      <c r="G183" s="223"/>
      <c r="H183" s="223">
        <f t="shared" si="303"/>
        <v>3.65</v>
      </c>
      <c r="I183" s="559">
        <f t="shared" si="304"/>
        <v>12</v>
      </c>
      <c r="J183" s="454">
        <f t="shared" si="305"/>
        <v>15.899999999999999</v>
      </c>
      <c r="K183" s="454">
        <f t="shared" si="306"/>
        <v>27.9</v>
      </c>
      <c r="L183" s="454"/>
      <c r="M183" s="223">
        <f t="shared" si="307"/>
        <v>0.56989247311827951</v>
      </c>
      <c r="N183" s="178">
        <f t="shared" si="308"/>
        <v>4.6161290322580646</v>
      </c>
      <c r="O183" s="178">
        <f t="shared" si="248"/>
        <v>3.65</v>
      </c>
      <c r="P183" s="223">
        <f t="shared" si="309"/>
        <v>0.9232258064516129</v>
      </c>
      <c r="Q183" s="223">
        <f t="shared" si="310"/>
        <v>5</v>
      </c>
      <c r="R183" s="223"/>
      <c r="S183" s="178">
        <f t="shared" si="311"/>
        <v>7.254731269384016</v>
      </c>
      <c r="T183" s="554">
        <f t="shared" si="312"/>
        <v>5</v>
      </c>
      <c r="U183" s="223">
        <f t="shared" si="313"/>
        <v>1.1860587002096437</v>
      </c>
      <c r="V183" s="223">
        <f t="shared" si="314"/>
        <v>2.9651467505241094</v>
      </c>
      <c r="W183" s="223">
        <f t="shared" si="315"/>
        <v>2.2378466041691394</v>
      </c>
      <c r="X183" s="203">
        <f t="shared" si="316"/>
        <v>350</v>
      </c>
      <c r="Y183" s="454">
        <f t="shared" si="283"/>
        <v>192.19705500833888</v>
      </c>
      <c r="AA183" s="223">
        <f t="shared" si="317"/>
        <v>0.65130568356374818</v>
      </c>
      <c r="AB183" s="179">
        <f t="shared" si="318"/>
        <v>1.2288786482334872</v>
      </c>
      <c r="AC183" s="179">
        <f t="shared" si="319"/>
        <v>0.42019721520241832</v>
      </c>
      <c r="AD183" s="179"/>
      <c r="AE183" s="179">
        <f t="shared" si="320"/>
        <v>0.5660377358490567</v>
      </c>
      <c r="AF183" s="563">
        <f t="shared" si="321"/>
        <v>2865.9259259259252</v>
      </c>
      <c r="AG183" s="546">
        <f t="shared" si="322"/>
        <v>8.9150943396226423E-2</v>
      </c>
      <c r="AI183" s="179">
        <f t="shared" si="323"/>
        <v>0.85845930652092117</v>
      </c>
      <c r="AJ183" s="179">
        <f t="shared" si="324"/>
        <v>1.1860587002096437</v>
      </c>
      <c r="AK183" s="179">
        <f t="shared" si="325"/>
        <v>1.8563397779330693</v>
      </c>
      <c r="AM183" s="563">
        <f t="shared" si="326"/>
        <v>730</v>
      </c>
      <c r="AN183" s="472">
        <f t="shared" si="327"/>
        <v>192.19705500833888</v>
      </c>
      <c r="AP183">
        <f t="shared" si="328"/>
        <v>730</v>
      </c>
      <c r="AQ183">
        <f t="shared" si="329"/>
        <v>192.19705500833888</v>
      </c>
      <c r="AS183" s="6">
        <f t="shared" si="249"/>
        <v>5.2029933546932492</v>
      </c>
      <c r="AT183" s="6">
        <f t="shared" si="330"/>
        <v>2.9651467505241094</v>
      </c>
      <c r="AU183" s="6">
        <f t="shared" si="284"/>
        <v>2.2378466041691398</v>
      </c>
      <c r="AV183" s="6"/>
      <c r="AW183" s="179">
        <f t="shared" si="285"/>
        <v>0.56989247311827951</v>
      </c>
      <c r="AX183" s="179">
        <f t="shared" si="245"/>
        <v>4.0555555555555554</v>
      </c>
      <c r="AY183" s="179">
        <f t="shared" si="246"/>
        <v>0.76519916142557665</v>
      </c>
      <c r="AZ183" s="179">
        <f t="shared" si="250"/>
        <v>5.2999999999999989</v>
      </c>
      <c r="BA183" s="472">
        <f t="shared" si="334"/>
        <v>43.291142557652002</v>
      </c>
      <c r="BB183" s="6">
        <f t="shared" si="335"/>
        <v>0.63025772416800607</v>
      </c>
      <c r="BD183" s="179">
        <f t="shared" si="251"/>
        <v>0.51694223569682762</v>
      </c>
      <c r="BE183" s="179">
        <f t="shared" si="247"/>
        <v>1.3472721497915177</v>
      </c>
      <c r="BG183" s="546">
        <f t="shared" si="286"/>
        <v>9.3530246266532058E-2</v>
      </c>
      <c r="BH183" s="546">
        <f t="shared" si="287"/>
        <v>4.7699999999999985E-2</v>
      </c>
      <c r="BI183" s="546">
        <f t="shared" si="288"/>
        <v>2.402463187604236E-3</v>
      </c>
      <c r="BJ183" s="546">
        <f t="shared" si="289"/>
        <v>7.4804054794520534E-3</v>
      </c>
      <c r="BK183">
        <f t="shared" si="290"/>
        <v>3.48E-3</v>
      </c>
      <c r="BM183" s="472">
        <f t="shared" si="291"/>
        <v>154.59311493358834</v>
      </c>
      <c r="BN183" s="546">
        <f t="shared" si="292"/>
        <v>0.29199999999999998</v>
      </c>
      <c r="BQ183" s="472">
        <f t="shared" si="293"/>
        <v>292</v>
      </c>
      <c r="BR183" s="546">
        <f t="shared" si="294"/>
        <v>5.3445855009446902E-2</v>
      </c>
      <c r="BS183" s="546">
        <f t="shared" si="295"/>
        <v>7.2605689824154301E-2</v>
      </c>
      <c r="BT183" s="546">
        <f t="shared" si="296"/>
        <v>3.9228552675452777E-2</v>
      </c>
      <c r="BU183" s="546"/>
      <c r="BV183" s="546">
        <f t="shared" si="297"/>
        <v>2.7037037037037037E-2</v>
      </c>
      <c r="BW183" s="472">
        <f t="shared" si="298"/>
        <v>192.31713454609101</v>
      </c>
      <c r="BX183" s="179">
        <f t="shared" si="299"/>
        <v>0.63891024947967934</v>
      </c>
      <c r="BY183" s="6">
        <f t="shared" si="300"/>
        <v>3.65</v>
      </c>
      <c r="BZ183" s="179">
        <f t="shared" si="301"/>
        <v>0.85103203090873947</v>
      </c>
      <c r="CA183" s="6">
        <f t="shared" si="302"/>
        <v>85.103203090873947</v>
      </c>
      <c r="CD183" s="581">
        <f t="shared" si="331"/>
        <v>-50</v>
      </c>
      <c r="CE183">
        <f t="shared" si="332"/>
        <v>-50</v>
      </c>
    </row>
    <row r="184" spans="5:83" x14ac:dyDescent="0.2">
      <c r="E184" s="176">
        <v>74</v>
      </c>
      <c r="F184" s="223">
        <f t="shared" si="333"/>
        <v>0.74</v>
      </c>
      <c r="G184" s="223"/>
      <c r="H184" s="223">
        <f t="shared" si="303"/>
        <v>3.7</v>
      </c>
      <c r="I184" s="559">
        <f t="shared" si="304"/>
        <v>12</v>
      </c>
      <c r="J184" s="454">
        <f t="shared" si="305"/>
        <v>15.899999999999999</v>
      </c>
      <c r="K184" s="454">
        <f t="shared" si="306"/>
        <v>27.9</v>
      </c>
      <c r="L184" s="454"/>
      <c r="M184" s="223">
        <f t="shared" si="307"/>
        <v>0.56989247311827951</v>
      </c>
      <c r="N184" s="178">
        <f t="shared" si="308"/>
        <v>4.6161290322580646</v>
      </c>
      <c r="O184" s="178">
        <f t="shared" si="248"/>
        <v>3.7</v>
      </c>
      <c r="P184" s="223">
        <f t="shared" si="309"/>
        <v>0.9232258064516129</v>
      </c>
      <c r="Q184" s="223">
        <f t="shared" si="310"/>
        <v>5</v>
      </c>
      <c r="R184" s="223"/>
      <c r="S184" s="178">
        <f t="shared" si="311"/>
        <v>7.107934420979098</v>
      </c>
      <c r="T184" s="554">
        <f t="shared" si="312"/>
        <v>5</v>
      </c>
      <c r="U184" s="223">
        <f t="shared" si="313"/>
        <v>1.2023060796645704</v>
      </c>
      <c r="V184" s="223">
        <f t="shared" si="314"/>
        <v>3.0057651991614258</v>
      </c>
      <c r="W184" s="223">
        <f t="shared" si="315"/>
        <v>2.2685020371029632</v>
      </c>
      <c r="X184" s="203">
        <f t="shared" si="316"/>
        <v>350</v>
      </c>
      <c r="Y184" s="454">
        <f t="shared" si="283"/>
        <v>189.5997975082262</v>
      </c>
      <c r="AA184" s="223">
        <f t="shared" si="317"/>
        <v>0.65130568356374818</v>
      </c>
      <c r="AB184" s="179">
        <f t="shared" si="318"/>
        <v>1.2288786482334872</v>
      </c>
      <c r="AC184" s="179">
        <f t="shared" si="319"/>
        <v>0.42019721520241832</v>
      </c>
      <c r="AD184" s="179"/>
      <c r="AE184" s="179">
        <f t="shared" si="320"/>
        <v>0.5660377358490567</v>
      </c>
      <c r="AF184" s="563">
        <f t="shared" si="321"/>
        <v>2905.1851851851848</v>
      </c>
      <c r="AG184" s="546">
        <f t="shared" si="322"/>
        <v>8.9150943396226423E-2</v>
      </c>
      <c r="AI184" s="179">
        <f t="shared" si="323"/>
        <v>0.86431916503547401</v>
      </c>
      <c r="AJ184" s="179">
        <f t="shared" si="324"/>
        <v>1.2023060796645704</v>
      </c>
      <c r="AK184" s="179">
        <f t="shared" si="325"/>
        <v>1.8683748738256076</v>
      </c>
      <c r="AM184" s="563">
        <f t="shared" si="326"/>
        <v>740</v>
      </c>
      <c r="AN184" s="472">
        <f t="shared" si="327"/>
        <v>189.5997975082262</v>
      </c>
      <c r="AP184">
        <f t="shared" si="328"/>
        <v>740</v>
      </c>
      <c r="AQ184">
        <f t="shared" si="329"/>
        <v>189.5997975082262</v>
      </c>
      <c r="AS184" s="6">
        <f t="shared" si="249"/>
        <v>5.2742672362643894</v>
      </c>
      <c r="AT184" s="6">
        <f t="shared" si="330"/>
        <v>3.0057651991614258</v>
      </c>
      <c r="AU184" s="6">
        <f t="shared" si="284"/>
        <v>2.2685020371029636</v>
      </c>
      <c r="AV184" s="6"/>
      <c r="AW184" s="179">
        <f t="shared" si="285"/>
        <v>0.56989247311827951</v>
      </c>
      <c r="AX184" s="179">
        <f t="shared" si="245"/>
        <v>4.1111111111111116</v>
      </c>
      <c r="AY184" s="179">
        <f t="shared" si="246"/>
        <v>0.77568134171907777</v>
      </c>
      <c r="AZ184" s="179">
        <f t="shared" si="250"/>
        <v>5.2999999999999989</v>
      </c>
      <c r="BA184" s="472">
        <f t="shared" si="334"/>
        <v>44.485324947589106</v>
      </c>
      <c r="BB184" s="6">
        <f t="shared" si="335"/>
        <v>0.6476433284939016</v>
      </c>
      <c r="BD184" s="179">
        <f t="shared" si="251"/>
        <v>0.52402363618582537</v>
      </c>
      <c r="BE184" s="179">
        <f t="shared" si="247"/>
        <v>1.3657279326653742</v>
      </c>
      <c r="BG184" s="546">
        <f t="shared" si="286"/>
        <v>9.6110269948494975E-2</v>
      </c>
      <c r="BH184" s="546">
        <f t="shared" si="287"/>
        <v>4.7699999999999985E-2</v>
      </c>
      <c r="BI184" s="546">
        <f t="shared" si="288"/>
        <v>2.3699974688528272E-3</v>
      </c>
      <c r="BJ184" s="546">
        <f t="shared" si="289"/>
        <v>7.3793189189189186E-3</v>
      </c>
      <c r="BK184">
        <f t="shared" si="290"/>
        <v>3.48E-3</v>
      </c>
      <c r="BM184" s="472">
        <f t="shared" si="291"/>
        <v>157.03958633626672</v>
      </c>
      <c r="BN184" s="546">
        <f t="shared" si="292"/>
        <v>0.29599999999999999</v>
      </c>
      <c r="BQ184" s="472">
        <f t="shared" si="293"/>
        <v>296</v>
      </c>
      <c r="BR184" s="546">
        <f t="shared" si="294"/>
        <v>5.4920154256282855E-2</v>
      </c>
      <c r="BS184" s="546">
        <f t="shared" si="295"/>
        <v>7.4608511442497472E-2</v>
      </c>
      <c r="BT184" s="546">
        <f t="shared" si="296"/>
        <v>3.9228552675452839E-2</v>
      </c>
      <c r="BU184" s="546"/>
      <c r="BV184" s="546">
        <f t="shared" si="297"/>
        <v>2.7407407407407415E-2</v>
      </c>
      <c r="BW184" s="472">
        <f t="shared" si="298"/>
        <v>196.16462578164058</v>
      </c>
      <c r="BX184" s="179">
        <f t="shared" si="299"/>
        <v>0.64920421211790735</v>
      </c>
      <c r="BY184" s="6">
        <f t="shared" si="300"/>
        <v>3.7</v>
      </c>
      <c r="BZ184" s="179">
        <f t="shared" si="301"/>
        <v>0.8507303450343694</v>
      </c>
      <c r="CA184" s="6">
        <f t="shared" si="302"/>
        <v>85.073034503436944</v>
      </c>
      <c r="CD184" s="581">
        <f t="shared" si="331"/>
        <v>-50</v>
      </c>
      <c r="CE184">
        <f t="shared" si="332"/>
        <v>-50</v>
      </c>
    </row>
    <row r="185" spans="5:83" x14ac:dyDescent="0.2">
      <c r="E185" s="176">
        <v>75</v>
      </c>
      <c r="F185" s="223">
        <f t="shared" si="333"/>
        <v>0.75</v>
      </c>
      <c r="G185" s="223"/>
      <c r="H185" s="223">
        <f t="shared" si="303"/>
        <v>3.75</v>
      </c>
      <c r="I185" s="559">
        <f t="shared" si="304"/>
        <v>12</v>
      </c>
      <c r="J185" s="454">
        <f t="shared" si="305"/>
        <v>15.899999999999999</v>
      </c>
      <c r="K185" s="454">
        <f t="shared" si="306"/>
        <v>27.9</v>
      </c>
      <c r="L185" s="454"/>
      <c r="M185" s="223">
        <f t="shared" si="307"/>
        <v>0.56989247311827951</v>
      </c>
      <c r="N185" s="178">
        <f t="shared" si="308"/>
        <v>4.6161290322580646</v>
      </c>
      <c r="O185" s="178">
        <f t="shared" si="248"/>
        <v>3.75</v>
      </c>
      <c r="P185" s="223">
        <f t="shared" si="309"/>
        <v>0.9232258064516129</v>
      </c>
      <c r="Q185" s="223">
        <f t="shared" si="310"/>
        <v>5</v>
      </c>
      <c r="R185" s="223"/>
      <c r="S185" s="178">
        <f t="shared" si="311"/>
        <v>6.9651715976519855</v>
      </c>
      <c r="T185" s="554">
        <f t="shared" si="312"/>
        <v>5</v>
      </c>
      <c r="U185" s="223">
        <f t="shared" si="313"/>
        <v>1.2185534591194969</v>
      </c>
      <c r="V185" s="223">
        <f t="shared" si="314"/>
        <v>3.0463836477987423</v>
      </c>
      <c r="W185" s="223">
        <f t="shared" si="315"/>
        <v>2.2991574700367865</v>
      </c>
      <c r="X185" s="203">
        <f t="shared" si="316"/>
        <v>350</v>
      </c>
      <c r="Y185" s="454">
        <f t="shared" si="283"/>
        <v>187.07180020811654</v>
      </c>
      <c r="AA185" s="223">
        <f t="shared" si="317"/>
        <v>0.65130568356374818</v>
      </c>
      <c r="AB185" s="179">
        <f t="shared" si="318"/>
        <v>1.2288786482334872</v>
      </c>
      <c r="AC185" s="179">
        <f t="shared" si="319"/>
        <v>0.42019721520241832</v>
      </c>
      <c r="AD185" s="179"/>
      <c r="AE185" s="179">
        <f t="shared" si="320"/>
        <v>0.5660377358490567</v>
      </c>
      <c r="AF185" s="563">
        <f t="shared" si="321"/>
        <v>2944.4444444444439</v>
      </c>
      <c r="AG185" s="546">
        <f t="shared" si="322"/>
        <v>8.9150943396226423E-2</v>
      </c>
      <c r="AI185" s="179">
        <f t="shared" si="323"/>
        <v>0.870139561876632</v>
      </c>
      <c r="AJ185" s="179">
        <f t="shared" si="324"/>
        <v>1.2185534591194969</v>
      </c>
      <c r="AK185" s="179">
        <f t="shared" si="325"/>
        <v>1.8804099697181458</v>
      </c>
      <c r="AM185" s="563">
        <f t="shared" si="326"/>
        <v>750</v>
      </c>
      <c r="AN185" s="472">
        <f t="shared" si="327"/>
        <v>187.07180020811654</v>
      </c>
      <c r="AP185">
        <f t="shared" si="328"/>
        <v>750</v>
      </c>
      <c r="AQ185">
        <f t="shared" si="329"/>
        <v>187.07180020811654</v>
      </c>
      <c r="AS185" s="6">
        <f t="shared" si="249"/>
        <v>5.3455411178355288</v>
      </c>
      <c r="AT185" s="6">
        <f t="shared" si="330"/>
        <v>3.0463836477987423</v>
      </c>
      <c r="AU185" s="6">
        <f t="shared" si="284"/>
        <v>2.2991574700367865</v>
      </c>
      <c r="AV185" s="6"/>
      <c r="AW185" s="179">
        <f t="shared" si="285"/>
        <v>0.56989247311827962</v>
      </c>
      <c r="AX185" s="179">
        <f t="shared" si="245"/>
        <v>4.166666666666667</v>
      </c>
      <c r="AY185" s="179">
        <f t="shared" si="246"/>
        <v>0.78616352201257844</v>
      </c>
      <c r="AZ185" s="179">
        <f t="shared" si="250"/>
        <v>5.3000000000000016</v>
      </c>
      <c r="BA185" s="472">
        <f t="shared" si="334"/>
        <v>45.695754716981142</v>
      </c>
      <c r="BB185" s="6">
        <f t="shared" si="335"/>
        <v>0.66526547165416272</v>
      </c>
      <c r="BD185" s="179">
        <f t="shared" si="251"/>
        <v>0.53110503667482301</v>
      </c>
      <c r="BE185" s="179">
        <f t="shared" si="247"/>
        <v>1.38418371553923</v>
      </c>
      <c r="BG185" s="546">
        <f t="shared" si="286"/>
        <v>9.872539599347778E-2</v>
      </c>
      <c r="BH185" s="546">
        <f t="shared" si="287"/>
        <v>4.7699999999999992E-2</v>
      </c>
      <c r="BI185" s="546">
        <f t="shared" si="288"/>
        <v>2.3383975026014564E-3</v>
      </c>
      <c r="BJ185" s="546">
        <f t="shared" si="289"/>
        <v>7.2809279999999999E-3</v>
      </c>
      <c r="BK185">
        <f t="shared" si="290"/>
        <v>3.48E-3</v>
      </c>
      <c r="BM185" s="472">
        <f t="shared" si="291"/>
        <v>159.52472149607922</v>
      </c>
      <c r="BN185" s="546">
        <f t="shared" si="292"/>
        <v>0.30000000000000004</v>
      </c>
      <c r="BQ185" s="472">
        <f t="shared" si="293"/>
        <v>300.00000000000006</v>
      </c>
      <c r="BR185" s="546">
        <f t="shared" si="294"/>
        <v>5.6414511996273023E-2</v>
      </c>
      <c r="BS185" s="546">
        <f t="shared" si="295"/>
        <v>7.663858233455953E-2</v>
      </c>
      <c r="BT185" s="546">
        <f t="shared" si="296"/>
        <v>3.9228552675452812E-2</v>
      </c>
      <c r="BU185" s="546"/>
      <c r="BV185" s="546">
        <f t="shared" si="297"/>
        <v>2.777777777777778E-2</v>
      </c>
      <c r="BW185" s="472">
        <f t="shared" si="298"/>
        <v>200.05942478406317</v>
      </c>
      <c r="BX185" s="179">
        <f t="shared" si="299"/>
        <v>0.65958414628014239</v>
      </c>
      <c r="BY185" s="6">
        <f t="shared" si="300"/>
        <v>3.75</v>
      </c>
      <c r="BZ185" s="179">
        <f t="shared" si="301"/>
        <v>0.85042032890186314</v>
      </c>
      <c r="CA185" s="6">
        <f t="shared" si="302"/>
        <v>85.04203289018632</v>
      </c>
      <c r="CD185" s="581">
        <f t="shared" si="331"/>
        <v>-50</v>
      </c>
      <c r="CE185">
        <f t="shared" si="332"/>
        <v>-50</v>
      </c>
    </row>
    <row r="186" spans="5:83" x14ac:dyDescent="0.2">
      <c r="E186" s="176">
        <v>76</v>
      </c>
      <c r="F186" s="223">
        <f t="shared" si="333"/>
        <v>0.76</v>
      </c>
      <c r="G186" s="223"/>
      <c r="H186" s="223">
        <f t="shared" si="303"/>
        <v>3.8</v>
      </c>
      <c r="I186" s="559">
        <f t="shared" si="304"/>
        <v>12</v>
      </c>
      <c r="J186" s="454">
        <f t="shared" si="305"/>
        <v>15.899999999999999</v>
      </c>
      <c r="K186" s="454">
        <f t="shared" si="306"/>
        <v>27.9</v>
      </c>
      <c r="L186" s="454"/>
      <c r="M186" s="223">
        <f t="shared" si="307"/>
        <v>0.56989247311827951</v>
      </c>
      <c r="N186" s="178">
        <f t="shared" si="308"/>
        <v>4.6161290322580646</v>
      </c>
      <c r="O186" s="178">
        <f t="shared" si="248"/>
        <v>3.8</v>
      </c>
      <c r="P186" s="223">
        <f t="shared" si="309"/>
        <v>0.9232258064516129</v>
      </c>
      <c r="Q186" s="223">
        <f t="shared" si="310"/>
        <v>5</v>
      </c>
      <c r="R186" s="223"/>
      <c r="S186" s="178">
        <f t="shared" si="311"/>
        <v>6.8262854103694224</v>
      </c>
      <c r="T186" s="554">
        <f t="shared" si="312"/>
        <v>5</v>
      </c>
      <c r="U186" s="223">
        <f t="shared" si="313"/>
        <v>1.2348008385744236</v>
      </c>
      <c r="V186" s="223">
        <f t="shared" si="314"/>
        <v>3.0870020964360592</v>
      </c>
      <c r="W186" s="223">
        <f t="shared" si="315"/>
        <v>2.3298129029706112</v>
      </c>
      <c r="X186" s="203">
        <f t="shared" si="316"/>
        <v>350</v>
      </c>
      <c r="Y186" s="454">
        <f t="shared" si="283"/>
        <v>184.61032915274654</v>
      </c>
      <c r="AA186" s="223">
        <f t="shared" si="317"/>
        <v>0.65130568356374818</v>
      </c>
      <c r="AB186" s="179">
        <f t="shared" si="318"/>
        <v>1.2288786482334872</v>
      </c>
      <c r="AC186" s="179">
        <f t="shared" si="319"/>
        <v>0.42019721520241832</v>
      </c>
      <c r="AD186" s="179"/>
      <c r="AE186" s="179">
        <f t="shared" si="320"/>
        <v>0.5660377358490567</v>
      </c>
      <c r="AF186" s="563">
        <f t="shared" si="321"/>
        <v>2983.7037037037035</v>
      </c>
      <c r="AG186" s="546">
        <f t="shared" si="322"/>
        <v>8.9150943396226423E-2</v>
      </c>
      <c r="AI186" s="179">
        <f t="shared" si="323"/>
        <v>0.87592128369967992</v>
      </c>
      <c r="AJ186" s="179">
        <f t="shared" si="324"/>
        <v>1.2348008385744236</v>
      </c>
      <c r="AK186" s="179">
        <f t="shared" si="325"/>
        <v>1.8924450656106839</v>
      </c>
      <c r="AM186" s="563">
        <f t="shared" si="326"/>
        <v>760</v>
      </c>
      <c r="AN186" s="472">
        <f t="shared" si="327"/>
        <v>184.61032915274654</v>
      </c>
      <c r="AP186">
        <f t="shared" si="328"/>
        <v>760</v>
      </c>
      <c r="AQ186">
        <f t="shared" si="329"/>
        <v>184.61032915274654</v>
      </c>
      <c r="AS186" s="6">
        <f t="shared" si="249"/>
        <v>5.4168149994066699</v>
      </c>
      <c r="AT186" s="6">
        <f t="shared" si="330"/>
        <v>3.0870020964360592</v>
      </c>
      <c r="AU186" s="6">
        <f t="shared" si="284"/>
        <v>2.3298129029706107</v>
      </c>
      <c r="AV186" s="6"/>
      <c r="AW186" s="179">
        <f t="shared" si="285"/>
        <v>0.56989247311827962</v>
      </c>
      <c r="AX186" s="179">
        <f t="shared" si="245"/>
        <v>4.2222222222222205</v>
      </c>
      <c r="AY186" s="179">
        <f t="shared" si="246"/>
        <v>0.79664570230607967</v>
      </c>
      <c r="AZ186" s="179">
        <f t="shared" si="250"/>
        <v>5.299999999999998</v>
      </c>
      <c r="BA186" s="472">
        <f t="shared" si="334"/>
        <v>46.922431865828095</v>
      </c>
      <c r="BB186" s="6">
        <f t="shared" si="335"/>
        <v>0.68312415364879009</v>
      </c>
      <c r="BD186" s="179">
        <f t="shared" si="251"/>
        <v>0.53818643716382064</v>
      </c>
      <c r="BE186" s="179">
        <f t="shared" si="247"/>
        <v>1.4026394984130868</v>
      </c>
      <c r="BG186" s="546">
        <f t="shared" si="286"/>
        <v>0.10137562440148046</v>
      </c>
      <c r="BH186" s="546">
        <f t="shared" si="287"/>
        <v>4.7699999999999979E-2</v>
      </c>
      <c r="BI186" s="546">
        <f t="shared" si="288"/>
        <v>2.3076291144093317E-3</v>
      </c>
      <c r="BJ186" s="546">
        <f t="shared" si="289"/>
        <v>7.1851263157894718E-3</v>
      </c>
      <c r="BK186">
        <f t="shared" si="290"/>
        <v>3.48E-3</v>
      </c>
      <c r="BM186" s="472">
        <f t="shared" si="291"/>
        <v>162.04837983167923</v>
      </c>
      <c r="BN186" s="546">
        <f t="shared" si="292"/>
        <v>0.30400000000000005</v>
      </c>
      <c r="BQ186" s="472">
        <f t="shared" si="293"/>
        <v>304.00000000000006</v>
      </c>
      <c r="BR186" s="546">
        <f t="shared" si="294"/>
        <v>5.7928928229417413E-2</v>
      </c>
      <c r="BS186" s="546">
        <f t="shared" si="295"/>
        <v>7.8695902500340628E-2</v>
      </c>
      <c r="BT186" s="546">
        <f t="shared" si="296"/>
        <v>3.9228552675452825E-2</v>
      </c>
      <c r="BU186" s="546"/>
      <c r="BV186" s="546">
        <f t="shared" si="297"/>
        <v>2.8148148148148151E-2</v>
      </c>
      <c r="BW186" s="472">
        <f t="shared" si="298"/>
        <v>204.001531553359</v>
      </c>
      <c r="BX186" s="179">
        <f t="shared" si="299"/>
        <v>0.67004991138503822</v>
      </c>
      <c r="BY186" s="6">
        <f t="shared" si="300"/>
        <v>3.8</v>
      </c>
      <c r="BZ186" s="179">
        <f t="shared" si="301"/>
        <v>0.85010236470101863</v>
      </c>
      <c r="CA186" s="6">
        <f t="shared" si="302"/>
        <v>85.010236470101859</v>
      </c>
      <c r="CD186" s="581">
        <f t="shared" si="331"/>
        <v>184.61032915274654</v>
      </c>
      <c r="CE186">
        <f t="shared" si="332"/>
        <v>3.9241822060876053</v>
      </c>
    </row>
    <row r="187" spans="5:83" x14ac:dyDescent="0.2">
      <c r="E187" s="176">
        <v>77</v>
      </c>
      <c r="F187" s="223">
        <f t="shared" si="333"/>
        <v>0.77</v>
      </c>
      <c r="G187" s="223"/>
      <c r="H187" s="223">
        <f t="shared" si="303"/>
        <v>3.85</v>
      </c>
      <c r="I187" s="559">
        <f t="shared" si="304"/>
        <v>12</v>
      </c>
      <c r="J187" s="454">
        <f t="shared" si="305"/>
        <v>15.899999999999999</v>
      </c>
      <c r="K187" s="454">
        <f t="shared" si="306"/>
        <v>27.9</v>
      </c>
      <c r="L187" s="454"/>
      <c r="M187" s="223">
        <f t="shared" si="307"/>
        <v>0.56989247311827951</v>
      </c>
      <c r="N187" s="178">
        <f t="shared" si="308"/>
        <v>4.6161290322580646</v>
      </c>
      <c r="O187" s="178">
        <f t="shared" si="248"/>
        <v>3.85</v>
      </c>
      <c r="P187" s="223">
        <f t="shared" si="309"/>
        <v>0.9232258064516129</v>
      </c>
      <c r="Q187" s="223">
        <f t="shared" si="310"/>
        <v>5</v>
      </c>
      <c r="R187" s="223"/>
      <c r="S187" s="178">
        <f t="shared" si="311"/>
        <v>6.6911266726945469</v>
      </c>
      <c r="T187" s="554">
        <f t="shared" si="312"/>
        <v>5</v>
      </c>
      <c r="U187" s="223">
        <f t="shared" si="313"/>
        <v>1.2510482180293503</v>
      </c>
      <c r="V187" s="223">
        <f t="shared" si="314"/>
        <v>3.1276205450733756</v>
      </c>
      <c r="W187" s="223">
        <f t="shared" si="315"/>
        <v>2.3604683359044349</v>
      </c>
      <c r="X187" s="203">
        <f t="shared" si="316"/>
        <v>350</v>
      </c>
      <c r="Y187" s="454">
        <f t="shared" si="283"/>
        <v>182.21279241050308</v>
      </c>
      <c r="AA187" s="223">
        <f t="shared" si="317"/>
        <v>0.65130568356374818</v>
      </c>
      <c r="AB187" s="179">
        <f t="shared" si="318"/>
        <v>1.2288786482334872</v>
      </c>
      <c r="AC187" s="179">
        <f t="shared" si="319"/>
        <v>0.42019721520241832</v>
      </c>
      <c r="AD187" s="179"/>
      <c r="AE187" s="179">
        <f t="shared" si="320"/>
        <v>0.5660377358490567</v>
      </c>
      <c r="AF187" s="563">
        <f t="shared" si="321"/>
        <v>3022.9629629629626</v>
      </c>
      <c r="AG187" s="546">
        <f t="shared" si="322"/>
        <v>8.9150943396226423E-2</v>
      </c>
      <c r="AI187" s="179">
        <f t="shared" si="323"/>
        <v>0.88166509136595239</v>
      </c>
      <c r="AJ187" s="179">
        <f t="shared" si="324"/>
        <v>1.2510482180293503</v>
      </c>
      <c r="AK187" s="179">
        <f t="shared" si="325"/>
        <v>1.9044801615032223</v>
      </c>
      <c r="AM187" s="563">
        <f t="shared" si="326"/>
        <v>770</v>
      </c>
      <c r="AN187" s="472">
        <f t="shared" si="327"/>
        <v>182.21279241050308</v>
      </c>
      <c r="AP187">
        <f t="shared" si="328"/>
        <v>770</v>
      </c>
      <c r="AQ187">
        <f t="shared" si="329"/>
        <v>182.21279241050308</v>
      </c>
      <c r="AS187" s="6">
        <f t="shared" si="249"/>
        <v>5.488088880977811</v>
      </c>
      <c r="AT187" s="6">
        <f t="shared" si="330"/>
        <v>3.1276205450733756</v>
      </c>
      <c r="AU187" s="6">
        <f t="shared" si="284"/>
        <v>2.3604683359044354</v>
      </c>
      <c r="AV187" s="6"/>
      <c r="AW187" s="179">
        <f t="shared" si="285"/>
        <v>0.56989247311827951</v>
      </c>
      <c r="AX187" s="179">
        <f t="shared" si="245"/>
        <v>4.2777777777777786</v>
      </c>
      <c r="AY187" s="179">
        <f t="shared" si="246"/>
        <v>0.80712788259958101</v>
      </c>
      <c r="AZ187" s="179">
        <f t="shared" si="250"/>
        <v>5.2999999999999989</v>
      </c>
      <c r="BA187" s="472">
        <f t="shared" si="334"/>
        <v>48.165356394129979</v>
      </c>
      <c r="BB187" s="6">
        <f t="shared" si="335"/>
        <v>0.7012193744777836</v>
      </c>
      <c r="BD187" s="179">
        <f t="shared" si="251"/>
        <v>0.54526783765281828</v>
      </c>
      <c r="BE187" s="179">
        <f t="shared" si="247"/>
        <v>1.4210952812869435</v>
      </c>
      <c r="BG187" s="546">
        <f t="shared" si="286"/>
        <v>0.10406095517250306</v>
      </c>
      <c r="BH187" s="546">
        <f t="shared" si="287"/>
        <v>4.7699999999999985E-2</v>
      </c>
      <c r="BI187" s="546">
        <f t="shared" si="288"/>
        <v>2.2776599051312885E-3</v>
      </c>
      <c r="BJ187" s="546">
        <f t="shared" si="289"/>
        <v>7.0918129870129855E-3</v>
      </c>
      <c r="BK187">
        <f t="shared" si="290"/>
        <v>3.48E-3</v>
      </c>
      <c r="BM187" s="472">
        <f t="shared" si="291"/>
        <v>164.61042806464732</v>
      </c>
      <c r="BN187" s="546">
        <f t="shared" si="292"/>
        <v>0.30800000000000005</v>
      </c>
      <c r="BQ187" s="472">
        <f t="shared" si="293"/>
        <v>308.00000000000006</v>
      </c>
      <c r="BR187" s="546">
        <f t="shared" si="294"/>
        <v>5.946340295571604E-2</v>
      </c>
      <c r="BS187" s="546">
        <f t="shared" si="295"/>
        <v>8.0780471939840684E-2</v>
      </c>
      <c r="BT187" s="546">
        <f t="shared" si="296"/>
        <v>3.9228552675452846E-2</v>
      </c>
      <c r="BU187" s="546"/>
      <c r="BV187" s="546">
        <f t="shared" si="297"/>
        <v>2.8518518518518526E-2</v>
      </c>
      <c r="BW187" s="472">
        <f t="shared" si="298"/>
        <v>207.99094608952808</v>
      </c>
      <c r="BX187" s="179">
        <f t="shared" si="299"/>
        <v>0.68060137415417554</v>
      </c>
      <c r="BY187" s="6">
        <f t="shared" si="300"/>
        <v>3.85</v>
      </c>
      <c r="BZ187" s="179">
        <f t="shared" si="301"/>
        <v>0.84977681372790426</v>
      </c>
      <c r="CA187" s="6">
        <f t="shared" si="302"/>
        <v>84.977681372790428</v>
      </c>
      <c r="CD187" s="581">
        <f t="shared" si="331"/>
        <v>-50</v>
      </c>
      <c r="CE187">
        <f t="shared" si="332"/>
        <v>-50</v>
      </c>
    </row>
    <row r="188" spans="5:83" x14ac:dyDescent="0.2">
      <c r="E188" s="176">
        <v>78</v>
      </c>
      <c r="F188" s="223">
        <f t="shared" si="333"/>
        <v>0.78</v>
      </c>
      <c r="G188" s="223"/>
      <c r="H188" s="223">
        <f t="shared" si="303"/>
        <v>3.9000000000000004</v>
      </c>
      <c r="I188" s="559">
        <f t="shared" si="304"/>
        <v>12</v>
      </c>
      <c r="J188" s="454">
        <f t="shared" si="305"/>
        <v>15.899999999999999</v>
      </c>
      <c r="K188" s="454">
        <f t="shared" si="306"/>
        <v>27.9</v>
      </c>
      <c r="L188" s="454"/>
      <c r="M188" s="223">
        <f t="shared" si="307"/>
        <v>0.56989247311827951</v>
      </c>
      <c r="N188" s="178">
        <f t="shared" si="308"/>
        <v>4.6161290322580646</v>
      </c>
      <c r="O188" s="178">
        <f t="shared" si="248"/>
        <v>3.9000000000000004</v>
      </c>
      <c r="P188" s="223">
        <f t="shared" si="309"/>
        <v>0.9232258064516129</v>
      </c>
      <c r="Q188" s="223">
        <f t="shared" si="310"/>
        <v>5</v>
      </c>
      <c r="R188" s="223"/>
      <c r="S188" s="178">
        <f t="shared" si="311"/>
        <v>6.5595538750562312</v>
      </c>
      <c r="T188" s="554">
        <f t="shared" si="312"/>
        <v>5</v>
      </c>
      <c r="U188" s="223">
        <f t="shared" si="313"/>
        <v>1.267295597484277</v>
      </c>
      <c r="V188" s="223">
        <f t="shared" si="314"/>
        <v>3.1682389937106925</v>
      </c>
      <c r="W188" s="223">
        <f t="shared" si="315"/>
        <v>2.3911237688382587</v>
      </c>
      <c r="X188" s="203">
        <f t="shared" si="316"/>
        <v>350</v>
      </c>
      <c r="Y188" s="454">
        <f t="shared" si="283"/>
        <v>179.87673096934279</v>
      </c>
      <c r="AA188" s="223">
        <f t="shared" si="317"/>
        <v>0.65130568356374818</v>
      </c>
      <c r="AB188" s="179">
        <f t="shared" si="318"/>
        <v>1.2288786482334872</v>
      </c>
      <c r="AC188" s="179">
        <f t="shared" si="319"/>
        <v>0.42019721520241832</v>
      </c>
      <c r="AD188" s="179"/>
      <c r="AE188" s="179">
        <f t="shared" si="320"/>
        <v>0.5660377358490567</v>
      </c>
      <c r="AF188" s="563">
        <f t="shared" si="321"/>
        <v>3062.2222222222217</v>
      </c>
      <c r="AG188" s="546">
        <f t="shared" si="322"/>
        <v>8.9150943396226423E-2</v>
      </c>
      <c r="AI188" s="179">
        <f t="shared" si="323"/>
        <v>0.88737172111160456</v>
      </c>
      <c r="AJ188" s="179">
        <f t="shared" si="324"/>
        <v>1.267295597484277</v>
      </c>
      <c r="AK188" s="179">
        <f t="shared" si="325"/>
        <v>1.9165152573957607</v>
      </c>
      <c r="AM188" s="563">
        <f t="shared" si="326"/>
        <v>780</v>
      </c>
      <c r="AN188" s="472">
        <f t="shared" si="327"/>
        <v>179.87673096934279</v>
      </c>
      <c r="AP188">
        <f t="shared" si="328"/>
        <v>780</v>
      </c>
      <c r="AQ188">
        <f t="shared" si="329"/>
        <v>179.87673096934279</v>
      </c>
      <c r="AS188" s="6">
        <f t="shared" si="249"/>
        <v>5.5593627625489512</v>
      </c>
      <c r="AT188" s="6">
        <f t="shared" si="330"/>
        <v>3.1682389937106925</v>
      </c>
      <c r="AU188" s="6">
        <f t="shared" si="284"/>
        <v>2.3911237688382587</v>
      </c>
      <c r="AV188" s="6"/>
      <c r="AW188" s="179">
        <f t="shared" si="285"/>
        <v>0.56989247311827951</v>
      </c>
      <c r="AX188" s="179">
        <f t="shared" si="245"/>
        <v>4.3333333333333339</v>
      </c>
      <c r="AY188" s="179">
        <f t="shared" si="246"/>
        <v>0.81761006289308202</v>
      </c>
      <c r="AZ188" s="179">
        <f t="shared" si="250"/>
        <v>5.2999999999999989</v>
      </c>
      <c r="BA188" s="472">
        <f t="shared" si="334"/>
        <v>49.424528301886809</v>
      </c>
      <c r="BB188" s="6">
        <f t="shared" si="335"/>
        <v>0.71955113414114269</v>
      </c>
      <c r="BD188" s="179">
        <f t="shared" si="251"/>
        <v>0.55234923814181591</v>
      </c>
      <c r="BE188" s="179">
        <f t="shared" si="247"/>
        <v>1.4395510641608</v>
      </c>
      <c r="BG188" s="546">
        <f t="shared" si="286"/>
        <v>0.10678138830654556</v>
      </c>
      <c r="BH188" s="546">
        <f t="shared" si="287"/>
        <v>4.7699999999999985E-2</v>
      </c>
      <c r="BI188" s="546">
        <f t="shared" si="288"/>
        <v>2.2484591371167849E-3</v>
      </c>
      <c r="BJ188" s="546">
        <f t="shared" si="289"/>
        <v>7.0008923076923055E-3</v>
      </c>
      <c r="BK188">
        <f t="shared" si="290"/>
        <v>3.48E-3</v>
      </c>
      <c r="BM188" s="472">
        <f t="shared" si="291"/>
        <v>167.21073975135465</v>
      </c>
      <c r="BN188" s="546">
        <f t="shared" si="292"/>
        <v>0.31200000000000006</v>
      </c>
      <c r="BQ188" s="472">
        <f t="shared" si="293"/>
        <v>312.00000000000006</v>
      </c>
      <c r="BR188" s="546">
        <f t="shared" si="294"/>
        <v>6.1017936175168902E-2</v>
      </c>
      <c r="BS188" s="546">
        <f t="shared" si="295"/>
        <v>8.2892290653059683E-2</v>
      </c>
      <c r="BT188" s="546">
        <f t="shared" si="296"/>
        <v>3.9228552675452832E-2</v>
      </c>
      <c r="BU188" s="546"/>
      <c r="BV188" s="546">
        <f t="shared" si="297"/>
        <v>2.8888888888888895E-2</v>
      </c>
      <c r="BW188" s="472">
        <f t="shared" si="298"/>
        <v>212.02766839257032</v>
      </c>
      <c r="BX188" s="179">
        <f t="shared" si="299"/>
        <v>0.69123840814392501</v>
      </c>
      <c r="BY188" s="6">
        <f t="shared" si="300"/>
        <v>3.9000000000000004</v>
      </c>
      <c r="BZ188" s="179">
        <f t="shared" si="301"/>
        <v>0.84944401778008116</v>
      </c>
      <c r="CA188" s="6">
        <f t="shared" si="302"/>
        <v>84.944401778008114</v>
      </c>
      <c r="CD188" s="581">
        <f t="shared" si="331"/>
        <v>-50</v>
      </c>
      <c r="CE188">
        <f t="shared" si="332"/>
        <v>-50</v>
      </c>
    </row>
    <row r="189" spans="5:83" x14ac:dyDescent="0.2">
      <c r="E189" s="176">
        <v>79</v>
      </c>
      <c r="F189" s="223">
        <f t="shared" si="333"/>
        <v>0.79</v>
      </c>
      <c r="G189" s="223"/>
      <c r="H189" s="223">
        <f t="shared" si="303"/>
        <v>3.95</v>
      </c>
      <c r="I189" s="559">
        <f t="shared" si="304"/>
        <v>12</v>
      </c>
      <c r="J189" s="454">
        <f t="shared" si="305"/>
        <v>15.899999999999999</v>
      </c>
      <c r="K189" s="454">
        <f t="shared" si="306"/>
        <v>27.9</v>
      </c>
      <c r="L189" s="454"/>
      <c r="M189" s="223">
        <f t="shared" si="307"/>
        <v>0.56989247311827951</v>
      </c>
      <c r="N189" s="178">
        <f t="shared" si="308"/>
        <v>4.6161290322580646</v>
      </c>
      <c r="O189" s="178">
        <f t="shared" si="248"/>
        <v>3.95</v>
      </c>
      <c r="P189" s="223">
        <f t="shared" si="309"/>
        <v>0.9232258064516129</v>
      </c>
      <c r="Q189" s="223">
        <f t="shared" si="310"/>
        <v>5</v>
      </c>
      <c r="R189" s="223"/>
      <c r="S189" s="178">
        <f t="shared" si="311"/>
        <v>6.4314326989270008</v>
      </c>
      <c r="T189" s="554">
        <f t="shared" si="312"/>
        <v>5</v>
      </c>
      <c r="U189" s="223">
        <f t="shared" si="313"/>
        <v>1.2835429769392035</v>
      </c>
      <c r="V189" s="223">
        <f t="shared" si="314"/>
        <v>3.2088574423480085</v>
      </c>
      <c r="W189" s="223">
        <f t="shared" si="315"/>
        <v>2.4217792017720821</v>
      </c>
      <c r="X189" s="203">
        <f t="shared" si="316"/>
        <v>350</v>
      </c>
      <c r="Y189" s="454">
        <f t="shared" si="283"/>
        <v>177.59981032416127</v>
      </c>
      <c r="AA189" s="223">
        <f t="shared" si="317"/>
        <v>0.65130568356374818</v>
      </c>
      <c r="AB189" s="179">
        <f t="shared" si="318"/>
        <v>1.2288786482334872</v>
      </c>
      <c r="AC189" s="179">
        <f t="shared" si="319"/>
        <v>0.42019721520241832</v>
      </c>
      <c r="AD189" s="179"/>
      <c r="AE189" s="179">
        <f t="shared" si="320"/>
        <v>0.5660377358490567</v>
      </c>
      <c r="AF189" s="563">
        <f t="shared" si="321"/>
        <v>3101.4814814814808</v>
      </c>
      <c r="AG189" s="546">
        <f t="shared" si="322"/>
        <v>8.9150943396226423E-2</v>
      </c>
      <c r="AI189" s="179">
        <f t="shared" si="323"/>
        <v>0.8930418856491612</v>
      </c>
      <c r="AJ189" s="179">
        <f t="shared" si="324"/>
        <v>1.2835429769392035</v>
      </c>
      <c r="AK189" s="179">
        <f t="shared" si="325"/>
        <v>1.9285503532882988</v>
      </c>
      <c r="AM189" s="563">
        <f t="shared" si="326"/>
        <v>790</v>
      </c>
      <c r="AN189" s="472">
        <f t="shared" si="327"/>
        <v>177.59981032416127</v>
      </c>
      <c r="AP189">
        <f t="shared" si="328"/>
        <v>790</v>
      </c>
      <c r="AQ189">
        <f t="shared" si="329"/>
        <v>177.59981032416127</v>
      </c>
      <c r="AS189" s="6">
        <f t="shared" si="249"/>
        <v>5.6306366441200906</v>
      </c>
      <c r="AT189" s="6">
        <f t="shared" si="330"/>
        <v>3.2088574423480085</v>
      </c>
      <c r="AU189" s="6">
        <f t="shared" si="284"/>
        <v>2.4217792017720821</v>
      </c>
      <c r="AV189" s="6"/>
      <c r="AW189" s="179">
        <f t="shared" si="285"/>
        <v>0.56989247311827951</v>
      </c>
      <c r="AX189" s="179">
        <f t="shared" si="245"/>
        <v>4.3888888888888902</v>
      </c>
      <c r="AY189" s="179">
        <f t="shared" si="246"/>
        <v>0.82809224318658303</v>
      </c>
      <c r="AZ189" s="179">
        <f t="shared" si="250"/>
        <v>5.3</v>
      </c>
      <c r="BA189" s="472">
        <f t="shared" si="334"/>
        <v>50.699947589098535</v>
      </c>
      <c r="BB189" s="6">
        <f t="shared" si="335"/>
        <v>0.73811943263886759</v>
      </c>
      <c r="BD189" s="179">
        <f t="shared" si="251"/>
        <v>0.55943063863081355</v>
      </c>
      <c r="BE189" s="179">
        <f t="shared" si="247"/>
        <v>1.4580068470346561</v>
      </c>
      <c r="BG189" s="546">
        <f t="shared" si="286"/>
        <v>0.10953692380360797</v>
      </c>
      <c r="BH189" s="546">
        <f t="shared" si="287"/>
        <v>4.7699999999999999E-2</v>
      </c>
      <c r="BI189" s="546">
        <f t="shared" si="288"/>
        <v>2.2199976290520154E-3</v>
      </c>
      <c r="BJ189" s="546">
        <f t="shared" si="289"/>
        <v>6.9122734177215189E-3</v>
      </c>
      <c r="BK189">
        <f t="shared" si="290"/>
        <v>3.48E-3</v>
      </c>
      <c r="BM189" s="472">
        <f t="shared" si="291"/>
        <v>169.84919485038151</v>
      </c>
      <c r="BN189" s="546">
        <f t="shared" si="292"/>
        <v>0.31600000000000006</v>
      </c>
      <c r="BQ189" s="472">
        <f t="shared" si="293"/>
        <v>316.00000000000006</v>
      </c>
      <c r="BR189" s="546">
        <f t="shared" si="294"/>
        <v>6.2592527887775987E-2</v>
      </c>
      <c r="BS189" s="546">
        <f t="shared" si="295"/>
        <v>8.5031358639997556E-2</v>
      </c>
      <c r="BT189" s="546">
        <f t="shared" si="296"/>
        <v>3.9228552675452777E-2</v>
      </c>
      <c r="BU189" s="546"/>
      <c r="BV189" s="546">
        <f t="shared" si="297"/>
        <v>2.9259259259259266E-2</v>
      </c>
      <c r="BW189" s="472">
        <f t="shared" si="298"/>
        <v>216.11169846248558</v>
      </c>
      <c r="BX189" s="179">
        <f t="shared" si="299"/>
        <v>0.70196089331286726</v>
      </c>
      <c r="BY189" s="6">
        <f t="shared" si="300"/>
        <v>3.95</v>
      </c>
      <c r="BZ189" s="179">
        <f t="shared" si="301"/>
        <v>0.84910430044200791</v>
      </c>
      <c r="CA189" s="6">
        <f t="shared" si="302"/>
        <v>84.910430044200794</v>
      </c>
      <c r="CD189" s="581">
        <f t="shared" si="331"/>
        <v>-50</v>
      </c>
      <c r="CE189">
        <f t="shared" si="332"/>
        <v>-50</v>
      </c>
    </row>
    <row r="190" spans="5:83" x14ac:dyDescent="0.2">
      <c r="E190" s="176">
        <v>80</v>
      </c>
      <c r="F190" s="223">
        <f t="shared" si="333"/>
        <v>0.8</v>
      </c>
      <c r="G190" s="223"/>
      <c r="H190" s="223">
        <f t="shared" si="303"/>
        <v>4</v>
      </c>
      <c r="I190" s="559">
        <f t="shared" si="304"/>
        <v>12</v>
      </c>
      <c r="J190" s="454">
        <f t="shared" si="305"/>
        <v>15.899999999999999</v>
      </c>
      <c r="K190" s="454">
        <f t="shared" si="306"/>
        <v>27.9</v>
      </c>
      <c r="L190" s="454"/>
      <c r="M190" s="223">
        <f t="shared" si="307"/>
        <v>0.56989247311827951</v>
      </c>
      <c r="N190" s="178">
        <f t="shared" si="308"/>
        <v>4.6161290322580646</v>
      </c>
      <c r="O190" s="178">
        <f t="shared" si="248"/>
        <v>4</v>
      </c>
      <c r="P190" s="223">
        <f t="shared" si="309"/>
        <v>0.9232258064516129</v>
      </c>
      <c r="Q190" s="223">
        <f t="shared" si="310"/>
        <v>5</v>
      </c>
      <c r="R190" s="223"/>
      <c r="S190" s="178">
        <f t="shared" si="311"/>
        <v>6.3066355674162446</v>
      </c>
      <c r="T190" s="554">
        <f t="shared" si="312"/>
        <v>5</v>
      </c>
      <c r="U190" s="223">
        <f t="shared" si="313"/>
        <v>1.29979035639413</v>
      </c>
      <c r="V190" s="223">
        <f t="shared" si="314"/>
        <v>3.2494758909853254</v>
      </c>
      <c r="W190" s="223">
        <f t="shared" si="315"/>
        <v>2.4524346347059058</v>
      </c>
      <c r="X190" s="203">
        <f t="shared" si="316"/>
        <v>350</v>
      </c>
      <c r="Y190" s="454">
        <f t="shared" si="283"/>
        <v>175.37981269510925</v>
      </c>
      <c r="AA190" s="223">
        <f t="shared" si="317"/>
        <v>0.65130568356374818</v>
      </c>
      <c r="AB190" s="179">
        <f t="shared" si="318"/>
        <v>1.2288786482334872</v>
      </c>
      <c r="AC190" s="179">
        <f t="shared" si="319"/>
        <v>0.42019721520241832</v>
      </c>
      <c r="AD190" s="179"/>
      <c r="AE190" s="179">
        <f t="shared" si="320"/>
        <v>0.5660377358490567</v>
      </c>
      <c r="AF190" s="563">
        <f t="shared" si="321"/>
        <v>3140.7407407407404</v>
      </c>
      <c r="AG190" s="546">
        <f t="shared" si="322"/>
        <v>8.9150943396226423E-2</v>
      </c>
      <c r="AI190" s="179">
        <f t="shared" si="323"/>
        <v>0.89867627520651039</v>
      </c>
      <c r="AJ190" s="179">
        <f t="shared" si="324"/>
        <v>1.29979035639413</v>
      </c>
      <c r="AK190" s="179">
        <f t="shared" si="325"/>
        <v>1.940585449180837</v>
      </c>
      <c r="AM190" s="563">
        <f t="shared" si="326"/>
        <v>800</v>
      </c>
      <c r="AN190" s="472">
        <f t="shared" si="327"/>
        <v>175.37981269510925</v>
      </c>
      <c r="AP190">
        <f t="shared" si="328"/>
        <v>800</v>
      </c>
      <c r="AQ190">
        <f t="shared" si="329"/>
        <v>175.37981269510925</v>
      </c>
      <c r="AS190" s="6">
        <f t="shared" si="249"/>
        <v>5.7019105256912308</v>
      </c>
      <c r="AT190" s="6">
        <f t="shared" si="330"/>
        <v>3.2494758909853254</v>
      </c>
      <c r="AU190" s="6">
        <f t="shared" si="284"/>
        <v>2.4524346347059054</v>
      </c>
      <c r="AV190" s="6"/>
      <c r="AW190" s="179">
        <f t="shared" si="285"/>
        <v>0.56989247311827962</v>
      </c>
      <c r="AX190" s="179">
        <f t="shared" si="245"/>
        <v>4.4444444444444438</v>
      </c>
      <c r="AY190" s="179">
        <f t="shared" si="246"/>
        <v>0.83857442348008382</v>
      </c>
      <c r="AZ190" s="179">
        <f t="shared" si="250"/>
        <v>5.3</v>
      </c>
      <c r="BA190" s="472">
        <f t="shared" si="334"/>
        <v>51.991614255765207</v>
      </c>
      <c r="BB190" s="6">
        <f t="shared" si="335"/>
        <v>0.75692426997095841</v>
      </c>
      <c r="BD190" s="179">
        <f t="shared" si="251"/>
        <v>0.56651203911981118</v>
      </c>
      <c r="BE190" s="179">
        <f t="shared" si="247"/>
        <v>1.4764626299085122</v>
      </c>
      <c r="BG190" s="546">
        <f t="shared" si="286"/>
        <v>0.11232756166369026</v>
      </c>
      <c r="BH190" s="546">
        <f t="shared" si="287"/>
        <v>4.7699999999999985E-2</v>
      </c>
      <c r="BI190" s="546">
        <f t="shared" si="288"/>
        <v>2.1922476586888656E-3</v>
      </c>
      <c r="BJ190" s="546">
        <f t="shared" si="289"/>
        <v>6.8258699999999995E-3</v>
      </c>
      <c r="BK190">
        <f t="shared" si="290"/>
        <v>3.48E-3</v>
      </c>
      <c r="BM190" s="472">
        <f t="shared" si="291"/>
        <v>172.52567932237915</v>
      </c>
      <c r="BN190" s="546">
        <f t="shared" si="292"/>
        <v>0.32000000000000006</v>
      </c>
      <c r="BQ190" s="472">
        <f t="shared" si="293"/>
        <v>320.00000000000006</v>
      </c>
      <c r="BR190" s="546">
        <f t="shared" si="294"/>
        <v>6.41871780935373E-2</v>
      </c>
      <c r="BS190" s="546">
        <f t="shared" si="295"/>
        <v>8.7197675900654414E-2</v>
      </c>
      <c r="BT190" s="546">
        <f t="shared" si="296"/>
        <v>3.9228552675452825E-2</v>
      </c>
      <c r="BU190" s="546"/>
      <c r="BV190" s="546">
        <f t="shared" si="297"/>
        <v>2.9629629629629627E-2</v>
      </c>
      <c r="BW190" s="472">
        <f t="shared" si="298"/>
        <v>220.24303629927417</v>
      </c>
      <c r="BX190" s="179">
        <f t="shared" si="299"/>
        <v>0.71276871562165345</v>
      </c>
      <c r="BY190" s="6">
        <f t="shared" si="300"/>
        <v>4</v>
      </c>
      <c r="BZ190" s="179">
        <f t="shared" si="301"/>
        <v>0.84875796827054073</v>
      </c>
      <c r="CA190" s="6">
        <f t="shared" si="302"/>
        <v>84.875796827054074</v>
      </c>
      <c r="CD190" s="581">
        <f t="shared" si="331"/>
        <v>-50</v>
      </c>
      <c r="CE190">
        <f t="shared" si="332"/>
        <v>-50</v>
      </c>
    </row>
    <row r="191" spans="5:83" x14ac:dyDescent="0.2">
      <c r="E191" s="176">
        <v>81</v>
      </c>
      <c r="F191" s="223">
        <f t="shared" si="333"/>
        <v>0.81</v>
      </c>
      <c r="G191" s="223"/>
      <c r="H191" s="223">
        <f t="shared" si="303"/>
        <v>4.0500000000000007</v>
      </c>
      <c r="I191" s="559">
        <f t="shared" si="304"/>
        <v>12</v>
      </c>
      <c r="J191" s="454">
        <f t="shared" si="305"/>
        <v>15.899999999999999</v>
      </c>
      <c r="K191" s="454">
        <f t="shared" si="306"/>
        <v>27.9</v>
      </c>
      <c r="L191" s="454"/>
      <c r="M191" s="223">
        <f t="shared" si="307"/>
        <v>0.56989247311827951</v>
      </c>
      <c r="N191" s="178">
        <f t="shared" si="308"/>
        <v>4.6161290322580646</v>
      </c>
      <c r="O191" s="178">
        <f t="shared" si="248"/>
        <v>4.0500000000000007</v>
      </c>
      <c r="P191" s="223">
        <f t="shared" si="309"/>
        <v>0.9232258064516129</v>
      </c>
      <c r="Q191" s="223">
        <f t="shared" si="310"/>
        <v>5</v>
      </c>
      <c r="R191" s="223"/>
      <c r="S191" s="178">
        <f t="shared" si="311"/>
        <v>6.1850412291304577</v>
      </c>
      <c r="T191" s="554">
        <f t="shared" si="312"/>
        <v>5</v>
      </c>
      <c r="U191" s="223">
        <f t="shared" si="313"/>
        <v>1.3160377358490569</v>
      </c>
      <c r="V191" s="223">
        <f t="shared" si="314"/>
        <v>3.2900943396226423</v>
      </c>
      <c r="W191" s="223">
        <f t="shared" si="315"/>
        <v>2.4830900676397305</v>
      </c>
      <c r="X191" s="203">
        <f t="shared" si="316"/>
        <v>350</v>
      </c>
      <c r="Y191" s="454">
        <f t="shared" si="283"/>
        <v>173.21462982233007</v>
      </c>
      <c r="AA191" s="223">
        <f t="shared" si="317"/>
        <v>0.65130568356374818</v>
      </c>
      <c r="AB191" s="179">
        <f t="shared" si="318"/>
        <v>1.2288786482334872</v>
      </c>
      <c r="AC191" s="179">
        <f t="shared" si="319"/>
        <v>0.42019721520241832</v>
      </c>
      <c r="AD191" s="179"/>
      <c r="AE191" s="179">
        <f t="shared" si="320"/>
        <v>0.5660377358490567</v>
      </c>
      <c r="AF191" s="563">
        <f t="shared" si="321"/>
        <v>3179.9999999999995</v>
      </c>
      <c r="AG191" s="546">
        <f t="shared" si="322"/>
        <v>8.9150943396226423E-2</v>
      </c>
      <c r="AI191" s="179">
        <f t="shared" si="323"/>
        <v>0.90427555850762975</v>
      </c>
      <c r="AJ191" s="179">
        <f t="shared" si="324"/>
        <v>1.3160377358490569</v>
      </c>
      <c r="AK191" s="179">
        <f t="shared" si="325"/>
        <v>1.9526205450733753</v>
      </c>
      <c r="AM191" s="563">
        <f t="shared" si="326"/>
        <v>810</v>
      </c>
      <c r="AN191" s="472">
        <f t="shared" si="327"/>
        <v>173.21462982233007</v>
      </c>
      <c r="AP191">
        <f t="shared" si="328"/>
        <v>810</v>
      </c>
      <c r="AQ191">
        <f t="shared" si="329"/>
        <v>173.21462982233007</v>
      </c>
      <c r="AS191" s="6">
        <f t="shared" si="249"/>
        <v>5.7731844072623728</v>
      </c>
      <c r="AT191" s="6">
        <f t="shared" si="330"/>
        <v>3.2900943396226423</v>
      </c>
      <c r="AU191" s="6">
        <f t="shared" si="284"/>
        <v>2.4830900676397305</v>
      </c>
      <c r="AV191" s="6"/>
      <c r="AW191" s="179">
        <f t="shared" si="285"/>
        <v>0.56989247311827951</v>
      </c>
      <c r="AX191" s="179">
        <f t="shared" si="245"/>
        <v>4.5000000000000009</v>
      </c>
      <c r="AY191" s="179">
        <f t="shared" si="246"/>
        <v>0.84905660377358527</v>
      </c>
      <c r="AZ191" s="179">
        <f t="shared" si="250"/>
        <v>5.2999999999999989</v>
      </c>
      <c r="BA191" s="472">
        <f t="shared" si="334"/>
        <v>53.299528301886809</v>
      </c>
      <c r="BB191" s="6">
        <f t="shared" si="335"/>
        <v>0.77596564613741581</v>
      </c>
      <c r="BD191" s="179">
        <f t="shared" si="251"/>
        <v>0.57359343960880893</v>
      </c>
      <c r="BE191" s="179">
        <f t="shared" si="247"/>
        <v>1.4949184127823691</v>
      </c>
      <c r="BG191" s="546">
        <f t="shared" si="286"/>
        <v>0.11515330188679251</v>
      </c>
      <c r="BH191" s="546">
        <f t="shared" si="287"/>
        <v>4.7699999999999979E-2</v>
      </c>
      <c r="BI191" s="546">
        <f t="shared" si="288"/>
        <v>2.1651828727791258E-3</v>
      </c>
      <c r="BJ191" s="546">
        <f t="shared" si="289"/>
        <v>6.7415999999999978E-3</v>
      </c>
      <c r="BK191">
        <f t="shared" si="290"/>
        <v>3.48E-3</v>
      </c>
      <c r="BM191" s="472">
        <f t="shared" si="291"/>
        <v>175.2400847595716</v>
      </c>
      <c r="BN191" s="546">
        <f t="shared" si="292"/>
        <v>0.32400000000000007</v>
      </c>
      <c r="BQ191" s="472">
        <f t="shared" si="293"/>
        <v>324.00000000000006</v>
      </c>
      <c r="BR191" s="546">
        <f t="shared" si="294"/>
        <v>6.5801886792452871E-2</v>
      </c>
      <c r="BS191" s="546">
        <f t="shared" si="295"/>
        <v>8.9391242435030313E-2</v>
      </c>
      <c r="BT191" s="546">
        <f t="shared" si="296"/>
        <v>3.9228552675452895E-2</v>
      </c>
      <c r="BU191" s="546"/>
      <c r="BV191" s="546">
        <f t="shared" si="297"/>
        <v>3.0000000000000006E-2</v>
      </c>
      <c r="BW191" s="472">
        <f t="shared" si="298"/>
        <v>224.42168190293606</v>
      </c>
      <c r="BX191" s="179">
        <f t="shared" si="299"/>
        <v>0.7236617666625077</v>
      </c>
      <c r="BY191" s="6">
        <f t="shared" si="300"/>
        <v>4.0500000000000007</v>
      </c>
      <c r="BZ191" s="179">
        <f t="shared" si="301"/>
        <v>0.84840531188944002</v>
      </c>
      <c r="CA191" s="6">
        <f t="shared" si="302"/>
        <v>84.840531188943999</v>
      </c>
      <c r="CD191" s="581">
        <f t="shared" si="331"/>
        <v>-50</v>
      </c>
      <c r="CE191">
        <f t="shared" si="332"/>
        <v>-50</v>
      </c>
    </row>
    <row r="192" spans="5:83" x14ac:dyDescent="0.2">
      <c r="E192" s="176">
        <v>82</v>
      </c>
      <c r="F192" s="223">
        <f t="shared" si="333"/>
        <v>0.82</v>
      </c>
      <c r="G192" s="223"/>
      <c r="H192" s="223">
        <f t="shared" si="303"/>
        <v>4.0999999999999996</v>
      </c>
      <c r="I192" s="559">
        <f t="shared" si="304"/>
        <v>12</v>
      </c>
      <c r="J192" s="454">
        <f t="shared" si="305"/>
        <v>15.899999999999999</v>
      </c>
      <c r="K192" s="454">
        <f t="shared" si="306"/>
        <v>27.9</v>
      </c>
      <c r="L192" s="454"/>
      <c r="M192" s="223">
        <f t="shared" si="307"/>
        <v>0.56989247311827951</v>
      </c>
      <c r="N192" s="178">
        <f t="shared" si="308"/>
        <v>4.6161290322580646</v>
      </c>
      <c r="O192" s="178">
        <f t="shared" si="248"/>
        <v>4.0999999999999996</v>
      </c>
      <c r="P192" s="223">
        <f t="shared" si="309"/>
        <v>0.9232258064516129</v>
      </c>
      <c r="Q192" s="223">
        <f t="shared" si="310"/>
        <v>5</v>
      </c>
      <c r="R192" s="223"/>
      <c r="S192" s="178">
        <f t="shared" si="311"/>
        <v>6.0665343724593228</v>
      </c>
      <c r="T192" s="554">
        <f t="shared" si="312"/>
        <v>5</v>
      </c>
      <c r="U192" s="223">
        <f t="shared" si="313"/>
        <v>1.3322851153039832</v>
      </c>
      <c r="V192" s="223">
        <f t="shared" si="314"/>
        <v>3.3307127882599583</v>
      </c>
      <c r="W192" s="223">
        <f t="shared" si="315"/>
        <v>2.5137455005735534</v>
      </c>
      <c r="X192" s="203">
        <f t="shared" si="316"/>
        <v>350</v>
      </c>
      <c r="Y192" s="454">
        <f t="shared" si="283"/>
        <v>171.10225628791147</v>
      </c>
      <c r="AA192" s="223">
        <f t="shared" si="317"/>
        <v>0.65130568356374818</v>
      </c>
      <c r="AB192" s="179">
        <f t="shared" si="318"/>
        <v>1.2288786482334872</v>
      </c>
      <c r="AC192" s="179">
        <f t="shared" si="319"/>
        <v>0.42019721520241832</v>
      </c>
      <c r="AD192" s="179"/>
      <c r="AE192" s="179">
        <f t="shared" si="320"/>
        <v>0.5660377358490567</v>
      </c>
      <c r="AF192" s="563">
        <f t="shared" si="321"/>
        <v>3219.2592592592582</v>
      </c>
      <c r="AG192" s="546">
        <f t="shared" si="322"/>
        <v>8.9150943396226423E-2</v>
      </c>
      <c r="AI192" s="179">
        <f t="shared" si="323"/>
        <v>0.90984038369898912</v>
      </c>
      <c r="AJ192" s="179">
        <f t="shared" si="324"/>
        <v>1.3322851153039832</v>
      </c>
      <c r="AK192" s="179">
        <f t="shared" si="325"/>
        <v>1.9646556409659133</v>
      </c>
      <c r="AM192" s="563">
        <f t="shared" si="326"/>
        <v>820</v>
      </c>
      <c r="AN192" s="472">
        <f t="shared" si="327"/>
        <v>171.10225628791147</v>
      </c>
      <c r="AP192">
        <f t="shared" si="328"/>
        <v>820</v>
      </c>
      <c r="AQ192">
        <f t="shared" si="329"/>
        <v>171.10225628791147</v>
      </c>
      <c r="AS192" s="6">
        <f t="shared" si="249"/>
        <v>5.8444582888335113</v>
      </c>
      <c r="AT192" s="6">
        <f t="shared" si="330"/>
        <v>3.3307127882599583</v>
      </c>
      <c r="AU192" s="6">
        <f t="shared" si="284"/>
        <v>2.5137455005735529</v>
      </c>
      <c r="AV192" s="6"/>
      <c r="AW192" s="179">
        <f t="shared" si="285"/>
        <v>0.56989247311827962</v>
      </c>
      <c r="AX192" s="179">
        <f t="shared" si="245"/>
        <v>4.5555555555555554</v>
      </c>
      <c r="AY192" s="179">
        <f t="shared" si="246"/>
        <v>0.85953878406708584</v>
      </c>
      <c r="AZ192" s="179">
        <f t="shared" si="250"/>
        <v>5.3000000000000007</v>
      </c>
      <c r="BA192" s="472">
        <f t="shared" si="334"/>
        <v>54.623689727463315</v>
      </c>
      <c r="BB192" s="6">
        <f t="shared" si="335"/>
        <v>0.79524356113823802</v>
      </c>
      <c r="BD192" s="179">
        <f t="shared" si="251"/>
        <v>0.58067484009780646</v>
      </c>
      <c r="BE192" s="179">
        <f t="shared" si="247"/>
        <v>1.513374195656225</v>
      </c>
      <c r="BG192" s="546">
        <f t="shared" si="286"/>
        <v>0.11801414447291458</v>
      </c>
      <c r="BH192" s="546">
        <f t="shared" si="287"/>
        <v>4.7699999999999985E-2</v>
      </c>
      <c r="BI192" s="546">
        <f t="shared" si="288"/>
        <v>2.1387782035988934E-3</v>
      </c>
      <c r="BJ192" s="546">
        <f t="shared" si="289"/>
        <v>6.6593853658536584E-3</v>
      </c>
      <c r="BK192">
        <f t="shared" si="290"/>
        <v>3.48E-3</v>
      </c>
      <c r="BM192" s="472">
        <f t="shared" si="291"/>
        <v>177.99230804236714</v>
      </c>
      <c r="BN192" s="546">
        <f t="shared" si="292"/>
        <v>0.32800000000000001</v>
      </c>
      <c r="BQ192" s="472">
        <f t="shared" si="293"/>
        <v>328</v>
      </c>
      <c r="BR192" s="546">
        <f t="shared" si="294"/>
        <v>6.7436653984522629E-2</v>
      </c>
      <c r="BS192" s="546">
        <f t="shared" si="295"/>
        <v>9.161205824312503E-2</v>
      </c>
      <c r="BT192" s="546">
        <f t="shared" si="296"/>
        <v>3.9228552675452846E-2</v>
      </c>
      <c r="BU192" s="546"/>
      <c r="BV192" s="546">
        <f t="shared" si="297"/>
        <v>3.037037037037037E-2</v>
      </c>
      <c r="BW192" s="472">
        <f t="shared" si="298"/>
        <v>228.64763527347088</v>
      </c>
      <c r="BX192" s="179">
        <f t="shared" si="299"/>
        <v>0.73463994331583804</v>
      </c>
      <c r="BY192" s="6">
        <f t="shared" si="300"/>
        <v>4.0999999999999996</v>
      </c>
      <c r="BZ192" s="179">
        <f t="shared" si="301"/>
        <v>0.84804660700089585</v>
      </c>
      <c r="CA192" s="6">
        <f t="shared" si="302"/>
        <v>84.804660700089585</v>
      </c>
      <c r="CD192" s="581">
        <f t="shared" si="331"/>
        <v>-50</v>
      </c>
      <c r="CE192">
        <f t="shared" si="332"/>
        <v>-50</v>
      </c>
    </row>
    <row r="193" spans="5:83" x14ac:dyDescent="0.2">
      <c r="E193" s="176">
        <v>83</v>
      </c>
      <c r="F193" s="223">
        <f t="shared" si="333"/>
        <v>0.83</v>
      </c>
      <c r="G193" s="223"/>
      <c r="H193" s="223">
        <f t="shared" si="303"/>
        <v>4.1499999999999995</v>
      </c>
      <c r="I193" s="559">
        <f t="shared" si="304"/>
        <v>12</v>
      </c>
      <c r="J193" s="454">
        <f t="shared" si="305"/>
        <v>15.899999999999999</v>
      </c>
      <c r="K193" s="454">
        <f t="shared" si="306"/>
        <v>27.9</v>
      </c>
      <c r="L193" s="454"/>
      <c r="M193" s="223">
        <f t="shared" si="307"/>
        <v>0.56989247311827951</v>
      </c>
      <c r="N193" s="178">
        <f t="shared" si="308"/>
        <v>4.6161290322580646</v>
      </c>
      <c r="O193" s="178">
        <f t="shared" si="248"/>
        <v>4.1499999999999995</v>
      </c>
      <c r="P193" s="223">
        <f t="shared" si="309"/>
        <v>0.9232258064516129</v>
      </c>
      <c r="Q193" s="223">
        <f t="shared" si="310"/>
        <v>5</v>
      </c>
      <c r="R193" s="223"/>
      <c r="S193" s="178">
        <f t="shared" si="311"/>
        <v>5.9510052677202676</v>
      </c>
      <c r="T193" s="554">
        <f t="shared" si="312"/>
        <v>5</v>
      </c>
      <c r="U193" s="223">
        <f t="shared" si="313"/>
        <v>1.3485324947589097</v>
      </c>
      <c r="V193" s="223">
        <f t="shared" si="314"/>
        <v>3.3713312368972743</v>
      </c>
      <c r="W193" s="223">
        <f t="shared" si="315"/>
        <v>2.5444009335073772</v>
      </c>
      <c r="X193" s="203">
        <f t="shared" si="316"/>
        <v>350</v>
      </c>
      <c r="Y193" s="454">
        <f t="shared" si="283"/>
        <v>169.04078332058725</v>
      </c>
      <c r="AA193" s="223">
        <f t="shared" si="317"/>
        <v>0.65130568356374818</v>
      </c>
      <c r="AB193" s="179">
        <f t="shared" si="318"/>
        <v>1.2288786482334872</v>
      </c>
      <c r="AC193" s="179">
        <f t="shared" si="319"/>
        <v>0.42019721520241832</v>
      </c>
      <c r="AD193" s="179"/>
      <c r="AE193" s="179">
        <f t="shared" si="320"/>
        <v>0.5660377358490567</v>
      </c>
      <c r="AF193" s="563">
        <f t="shared" si="321"/>
        <v>3258.5185185185178</v>
      </c>
      <c r="AG193" s="546">
        <f t="shared" si="322"/>
        <v>8.9150943396226423E-2</v>
      </c>
      <c r="AI193" s="179">
        <f t="shared" si="323"/>
        <v>0.9153713792252639</v>
      </c>
      <c r="AJ193" s="179">
        <f t="shared" si="324"/>
        <v>1.3485324947589097</v>
      </c>
      <c r="AK193" s="179">
        <f t="shared" si="325"/>
        <v>1.9766907368584516</v>
      </c>
      <c r="AM193" s="563">
        <f t="shared" si="326"/>
        <v>830</v>
      </c>
      <c r="AN193" s="472">
        <f t="shared" si="327"/>
        <v>169.04078332058725</v>
      </c>
      <c r="AP193">
        <f t="shared" si="328"/>
        <v>830</v>
      </c>
      <c r="AQ193">
        <f t="shared" si="329"/>
        <v>169.04078332058725</v>
      </c>
      <c r="AS193" s="6">
        <f t="shared" si="249"/>
        <v>5.9157321704046515</v>
      </c>
      <c r="AT193" s="6">
        <f t="shared" si="330"/>
        <v>3.3713312368972743</v>
      </c>
      <c r="AU193" s="6">
        <f t="shared" si="284"/>
        <v>2.5444009335073772</v>
      </c>
      <c r="AV193" s="6"/>
      <c r="AW193" s="179">
        <f t="shared" si="285"/>
        <v>0.56989247311827951</v>
      </c>
      <c r="AX193" s="179">
        <f t="shared" si="245"/>
        <v>4.6111111111111107</v>
      </c>
      <c r="AY193" s="179">
        <f t="shared" si="246"/>
        <v>0.87002096436058696</v>
      </c>
      <c r="AZ193" s="179">
        <f t="shared" si="250"/>
        <v>5.3</v>
      </c>
      <c r="BA193" s="472">
        <f t="shared" si="334"/>
        <v>55.964098532494752</v>
      </c>
      <c r="BB193" s="6">
        <f t="shared" si="335"/>
        <v>0.81475801497342693</v>
      </c>
      <c r="BD193" s="179">
        <f t="shared" si="251"/>
        <v>0.58775624058680398</v>
      </c>
      <c r="BE193" s="179">
        <f t="shared" si="247"/>
        <v>1.5318299785300813</v>
      </c>
      <c r="BG193" s="546">
        <f t="shared" si="286"/>
        <v>0.12091008942205654</v>
      </c>
      <c r="BH193" s="546">
        <f t="shared" si="287"/>
        <v>4.7699999999999992E-2</v>
      </c>
      <c r="BI193" s="546">
        <f t="shared" si="288"/>
        <v>2.1130097915073405E-3</v>
      </c>
      <c r="BJ193" s="546">
        <f t="shared" si="289"/>
        <v>6.5791518072289166E-3</v>
      </c>
      <c r="BK193">
        <f t="shared" si="290"/>
        <v>3.48E-3</v>
      </c>
      <c r="BM193" s="472">
        <f t="shared" si="291"/>
        <v>180.78225102079278</v>
      </c>
      <c r="BN193" s="546">
        <f t="shared" si="292"/>
        <v>0.33200000000000002</v>
      </c>
      <c r="BQ193" s="472">
        <f t="shared" si="293"/>
        <v>332</v>
      </c>
      <c r="BR193" s="546">
        <f t="shared" si="294"/>
        <v>6.9091479669746603E-2</v>
      </c>
      <c r="BS193" s="546">
        <f t="shared" si="295"/>
        <v>9.3860123324938774E-2</v>
      </c>
      <c r="BT193" s="546">
        <f t="shared" si="296"/>
        <v>3.9228552675452853E-2</v>
      </c>
      <c r="BU193" s="546"/>
      <c r="BV193" s="546">
        <f t="shared" si="297"/>
        <v>3.0740740740740739E-2</v>
      </c>
      <c r="BW193" s="472">
        <f t="shared" si="298"/>
        <v>232.92089641087895</v>
      </c>
      <c r="BX193" s="179">
        <f t="shared" si="299"/>
        <v>0.74570314743167176</v>
      </c>
      <c r="BY193" s="6">
        <f t="shared" si="300"/>
        <v>4.1499999999999995</v>
      </c>
      <c r="BZ193" s="179">
        <f t="shared" si="301"/>
        <v>0.84768211532129467</v>
      </c>
      <c r="CA193" s="6">
        <f t="shared" si="302"/>
        <v>84.76821153212947</v>
      </c>
      <c r="CD193" s="581">
        <f t="shared" si="331"/>
        <v>-50</v>
      </c>
      <c r="CE193">
        <f t="shared" si="332"/>
        <v>-50</v>
      </c>
    </row>
    <row r="194" spans="5:83" x14ac:dyDescent="0.2">
      <c r="E194" s="176">
        <v>84</v>
      </c>
      <c r="F194" s="223">
        <f t="shared" si="333"/>
        <v>0.84</v>
      </c>
      <c r="G194" s="223"/>
      <c r="H194" s="223">
        <f t="shared" si="303"/>
        <v>4.2</v>
      </c>
      <c r="I194" s="559">
        <f t="shared" si="304"/>
        <v>12</v>
      </c>
      <c r="J194" s="454">
        <f t="shared" si="305"/>
        <v>15.899999999999999</v>
      </c>
      <c r="K194" s="454">
        <f t="shared" si="306"/>
        <v>27.9</v>
      </c>
      <c r="L194" s="454"/>
      <c r="M194" s="223">
        <f t="shared" si="307"/>
        <v>0.56989247311827951</v>
      </c>
      <c r="N194" s="178">
        <f t="shared" si="308"/>
        <v>4.6161290322580646</v>
      </c>
      <c r="O194" s="178">
        <f t="shared" si="248"/>
        <v>4.2</v>
      </c>
      <c r="P194" s="223">
        <f t="shared" si="309"/>
        <v>0.9232258064516129</v>
      </c>
      <c r="Q194" s="223">
        <f t="shared" si="310"/>
        <v>5</v>
      </c>
      <c r="R194" s="223"/>
      <c r="S194" s="178">
        <f t="shared" si="311"/>
        <v>5.8383494348386504</v>
      </c>
      <c r="T194" s="554">
        <f t="shared" si="312"/>
        <v>5</v>
      </c>
      <c r="U194" s="223">
        <f t="shared" si="313"/>
        <v>1.3647798742138366</v>
      </c>
      <c r="V194" s="223">
        <f t="shared" si="314"/>
        <v>3.4119496855345917</v>
      </c>
      <c r="W194" s="223">
        <f t="shared" si="315"/>
        <v>2.5750563664412014</v>
      </c>
      <c r="X194" s="203">
        <f t="shared" si="316"/>
        <v>350</v>
      </c>
      <c r="Y194" s="454">
        <f t="shared" si="283"/>
        <v>167.02839304296117</v>
      </c>
      <c r="AA194" s="223">
        <f t="shared" si="317"/>
        <v>0.65130568356374818</v>
      </c>
      <c r="AB194" s="179">
        <f t="shared" si="318"/>
        <v>1.2288786482334872</v>
      </c>
      <c r="AC194" s="179">
        <f t="shared" si="319"/>
        <v>0.42019721520241832</v>
      </c>
      <c r="AD194" s="179"/>
      <c r="AE194" s="179">
        <f t="shared" si="320"/>
        <v>0.5660377358490567</v>
      </c>
      <c r="AF194" s="563">
        <f t="shared" si="321"/>
        <v>3297.7777777777769</v>
      </c>
      <c r="AG194" s="546">
        <f t="shared" si="322"/>
        <v>8.9150943396226423E-2</v>
      </c>
      <c r="AI194" s="179">
        <f t="shared" si="323"/>
        <v>0.92086915465770702</v>
      </c>
      <c r="AJ194" s="179">
        <f t="shared" si="324"/>
        <v>1.3647798742138366</v>
      </c>
      <c r="AK194" s="179">
        <f t="shared" si="325"/>
        <v>1.98872583275099</v>
      </c>
      <c r="AM194" s="563">
        <f t="shared" si="326"/>
        <v>840</v>
      </c>
      <c r="AN194" s="472">
        <f t="shared" si="327"/>
        <v>167.02839304296117</v>
      </c>
      <c r="AP194">
        <f t="shared" si="328"/>
        <v>840</v>
      </c>
      <c r="AQ194">
        <f t="shared" si="329"/>
        <v>167.02839304296117</v>
      </c>
      <c r="AS194" s="6">
        <f t="shared" si="249"/>
        <v>5.9870060519757926</v>
      </c>
      <c r="AT194" s="6">
        <f t="shared" si="330"/>
        <v>3.4119496855345917</v>
      </c>
      <c r="AU194" s="6">
        <f t="shared" si="284"/>
        <v>2.575056366441201</v>
      </c>
      <c r="AV194" s="6"/>
      <c r="AW194" s="179">
        <f t="shared" si="285"/>
        <v>0.56989247311827962</v>
      </c>
      <c r="AX194" s="179">
        <f t="shared" si="245"/>
        <v>4.666666666666667</v>
      </c>
      <c r="AY194" s="179">
        <f t="shared" si="246"/>
        <v>0.88050314465408797</v>
      </c>
      <c r="AZ194" s="179">
        <f t="shared" si="250"/>
        <v>5.3000000000000007</v>
      </c>
      <c r="BA194" s="472">
        <f t="shared" si="334"/>
        <v>57.320754716981135</v>
      </c>
      <c r="BB194" s="6">
        <f t="shared" si="335"/>
        <v>0.83450900764298164</v>
      </c>
      <c r="BD194" s="179">
        <f t="shared" si="251"/>
        <v>0.59483764107580184</v>
      </c>
      <c r="BE194" s="179">
        <f t="shared" si="247"/>
        <v>1.5502857614039378</v>
      </c>
      <c r="BG194" s="546">
        <f t="shared" si="286"/>
        <v>0.12384113673421855</v>
      </c>
      <c r="BH194" s="546">
        <f t="shared" si="287"/>
        <v>4.7699999999999985E-2</v>
      </c>
      <c r="BI194" s="546">
        <f t="shared" si="288"/>
        <v>2.0878549130370146E-3</v>
      </c>
      <c r="BJ194" s="546">
        <f t="shared" si="289"/>
        <v>6.5008285714285704E-3</v>
      </c>
      <c r="BK194">
        <f t="shared" si="290"/>
        <v>3.48E-3</v>
      </c>
      <c r="BM194" s="472">
        <f t="shared" si="291"/>
        <v>183.60982021868409</v>
      </c>
      <c r="BN194" s="546">
        <f t="shared" si="292"/>
        <v>0.33600000000000002</v>
      </c>
      <c r="BQ194" s="472">
        <f t="shared" si="293"/>
        <v>336</v>
      </c>
      <c r="BR194" s="546">
        <f t="shared" si="294"/>
        <v>7.0766363848124889E-2</v>
      </c>
      <c r="BS194" s="546">
        <f t="shared" si="295"/>
        <v>9.6135437680471503E-2</v>
      </c>
      <c r="BT194" s="546">
        <f t="shared" si="296"/>
        <v>3.9228552675452825E-2</v>
      </c>
      <c r="BU194" s="546"/>
      <c r="BV194" s="546">
        <f t="shared" si="297"/>
        <v>3.111111111111111E-2</v>
      </c>
      <c r="BW194" s="472">
        <f t="shared" si="298"/>
        <v>237.24146531516035</v>
      </c>
      <c r="BX194" s="179">
        <f t="shared" si="299"/>
        <v>0.75685128553384429</v>
      </c>
      <c r="BY194" s="6">
        <f t="shared" si="300"/>
        <v>4.2</v>
      </c>
      <c r="BZ194" s="179">
        <f t="shared" si="301"/>
        <v>0.84731208544774161</v>
      </c>
      <c r="CA194" s="6">
        <f t="shared" si="302"/>
        <v>84.731208544774162</v>
      </c>
      <c r="CD194" s="581">
        <f t="shared" si="331"/>
        <v>-50</v>
      </c>
      <c r="CE194">
        <f t="shared" si="332"/>
        <v>-50</v>
      </c>
    </row>
    <row r="195" spans="5:83" x14ac:dyDescent="0.2">
      <c r="E195" s="176">
        <v>85</v>
      </c>
      <c r="F195" s="223">
        <f t="shared" si="333"/>
        <v>0.85</v>
      </c>
      <c r="G195" s="223"/>
      <c r="H195" s="223">
        <f t="shared" si="303"/>
        <v>4.25</v>
      </c>
      <c r="I195" s="559">
        <f t="shared" si="304"/>
        <v>12</v>
      </c>
      <c r="J195" s="454">
        <f t="shared" si="305"/>
        <v>15.899999999999999</v>
      </c>
      <c r="K195" s="454">
        <f t="shared" si="306"/>
        <v>27.9</v>
      </c>
      <c r="L195" s="454"/>
      <c r="M195" s="223">
        <f t="shared" si="307"/>
        <v>0.56989247311827951</v>
      </c>
      <c r="N195" s="178">
        <f t="shared" si="308"/>
        <v>4.6161290322580646</v>
      </c>
      <c r="O195" s="178">
        <f t="shared" si="248"/>
        <v>4.25</v>
      </c>
      <c r="P195" s="223">
        <f t="shared" si="309"/>
        <v>0.9232258064516129</v>
      </c>
      <c r="Q195" s="223">
        <f t="shared" si="310"/>
        <v>5</v>
      </c>
      <c r="R195" s="223"/>
      <c r="S195" s="178">
        <f t="shared" si="311"/>
        <v>5.7284673344591939</v>
      </c>
      <c r="T195" s="554">
        <f t="shared" si="312"/>
        <v>5</v>
      </c>
      <c r="U195" s="223">
        <f t="shared" si="313"/>
        <v>1.3810272536687631</v>
      </c>
      <c r="V195" s="223">
        <f t="shared" si="314"/>
        <v>3.4525681341719081</v>
      </c>
      <c r="W195" s="223">
        <f t="shared" si="315"/>
        <v>2.6057117993750252</v>
      </c>
      <c r="X195" s="203">
        <f t="shared" si="316"/>
        <v>350</v>
      </c>
      <c r="Y195" s="454">
        <f t="shared" si="283"/>
        <v>165.06335312480871</v>
      </c>
      <c r="AA195" s="223">
        <f t="shared" si="317"/>
        <v>0.65130568356374818</v>
      </c>
      <c r="AB195" s="179">
        <f t="shared" si="318"/>
        <v>1.2288786482334872</v>
      </c>
      <c r="AC195" s="179">
        <f t="shared" si="319"/>
        <v>0.42019721520241832</v>
      </c>
      <c r="AD195" s="179"/>
      <c r="AE195" s="179">
        <f t="shared" si="320"/>
        <v>0.5660377358490567</v>
      </c>
      <c r="AF195" s="563">
        <f t="shared" si="321"/>
        <v>3337.0370370370365</v>
      </c>
      <c r="AG195" s="546">
        <f t="shared" si="322"/>
        <v>8.9150943396226423E-2</v>
      </c>
      <c r="AI195" s="179">
        <f t="shared" si="323"/>
        <v>0.92633430147827189</v>
      </c>
      <c r="AJ195" s="179">
        <f t="shared" si="324"/>
        <v>1.3810272536687631</v>
      </c>
      <c r="AK195" s="179">
        <f t="shared" si="325"/>
        <v>2.0007609286435279</v>
      </c>
      <c r="AM195" s="563">
        <f t="shared" si="326"/>
        <v>850</v>
      </c>
      <c r="AN195" s="472">
        <f t="shared" si="327"/>
        <v>165.06335312480871</v>
      </c>
      <c r="AP195">
        <f t="shared" si="328"/>
        <v>850</v>
      </c>
      <c r="AQ195">
        <f t="shared" si="329"/>
        <v>165.06335312480871</v>
      </c>
      <c r="AS195" s="6">
        <f t="shared" si="249"/>
        <v>6.058279933546932</v>
      </c>
      <c r="AT195" s="6">
        <f t="shared" si="330"/>
        <v>3.4525681341719081</v>
      </c>
      <c r="AU195" s="6">
        <f t="shared" si="284"/>
        <v>2.6057117993750238</v>
      </c>
      <c r="AV195" s="6"/>
      <c r="AW195" s="179">
        <f t="shared" si="285"/>
        <v>0.56989247311827973</v>
      </c>
      <c r="AX195" s="179">
        <f t="shared" si="245"/>
        <v>4.7222222222222223</v>
      </c>
      <c r="AY195" s="179">
        <f t="shared" si="246"/>
        <v>0.89098532494758886</v>
      </c>
      <c r="AZ195" s="179">
        <f t="shared" si="250"/>
        <v>5.3000000000000016</v>
      </c>
      <c r="BA195" s="472">
        <f t="shared" si="334"/>
        <v>58.693658280922442</v>
      </c>
      <c r="BB195" s="6">
        <f t="shared" si="335"/>
        <v>0.85449653914690193</v>
      </c>
      <c r="BD195" s="179">
        <f t="shared" si="251"/>
        <v>0.60191904156479936</v>
      </c>
      <c r="BE195" s="179">
        <f t="shared" si="247"/>
        <v>1.5687415442777941</v>
      </c>
      <c r="BG195" s="546">
        <f t="shared" si="286"/>
        <v>0.12680728640940031</v>
      </c>
      <c r="BH195" s="546">
        <f t="shared" si="287"/>
        <v>4.7699999999999985E-2</v>
      </c>
      <c r="BI195" s="546">
        <f t="shared" si="288"/>
        <v>2.0632919140601089E-3</v>
      </c>
      <c r="BJ195" s="546">
        <f t="shared" si="289"/>
        <v>6.4243482352941183E-3</v>
      </c>
      <c r="BK195">
        <f t="shared" si="290"/>
        <v>3.48E-3</v>
      </c>
      <c r="BM195" s="472">
        <f t="shared" si="291"/>
        <v>186.47492655875453</v>
      </c>
      <c r="BN195" s="546">
        <f t="shared" si="292"/>
        <v>0.34</v>
      </c>
      <c r="BQ195" s="472">
        <f t="shared" si="293"/>
        <v>340</v>
      </c>
      <c r="BR195" s="546">
        <f t="shared" si="294"/>
        <v>7.2461306519657334E-2</v>
      </c>
      <c r="BS195" s="546">
        <f t="shared" si="295"/>
        <v>9.8438001309723133E-2</v>
      </c>
      <c r="BT195" s="546">
        <f t="shared" si="296"/>
        <v>3.9228552675452867E-2</v>
      </c>
      <c r="BU195" s="546"/>
      <c r="BV195" s="546">
        <f t="shared" si="297"/>
        <v>3.1481481481481478E-2</v>
      </c>
      <c r="BW195" s="472">
        <f t="shared" si="298"/>
        <v>241.60934198631477</v>
      </c>
      <c r="BX195" s="179">
        <f t="shared" si="299"/>
        <v>0.76808426854506928</v>
      </c>
      <c r="BY195" s="6">
        <f t="shared" si="300"/>
        <v>4.25</v>
      </c>
      <c r="BZ195" s="179">
        <f t="shared" si="301"/>
        <v>0.84693675366122034</v>
      </c>
      <c r="CA195" s="6">
        <f t="shared" si="302"/>
        <v>84.693675366122037</v>
      </c>
      <c r="CD195" s="581">
        <f t="shared" si="331"/>
        <v>-50</v>
      </c>
      <c r="CE195">
        <f t="shared" si="332"/>
        <v>-50</v>
      </c>
    </row>
    <row r="196" spans="5:83" x14ac:dyDescent="0.2">
      <c r="E196" s="176">
        <v>86</v>
      </c>
      <c r="F196" s="223">
        <f t="shared" si="333"/>
        <v>0.86</v>
      </c>
      <c r="G196" s="223"/>
      <c r="H196" s="223">
        <f t="shared" si="303"/>
        <v>4.3</v>
      </c>
      <c r="I196" s="559">
        <f t="shared" si="304"/>
        <v>12</v>
      </c>
      <c r="J196" s="454">
        <f t="shared" si="305"/>
        <v>15.899999999999999</v>
      </c>
      <c r="K196" s="454">
        <f t="shared" si="306"/>
        <v>27.9</v>
      </c>
      <c r="L196" s="454"/>
      <c r="M196" s="223">
        <f t="shared" si="307"/>
        <v>0.56989247311827951</v>
      </c>
      <c r="N196" s="178">
        <f t="shared" si="308"/>
        <v>4.6161290322580646</v>
      </c>
      <c r="O196" s="178">
        <f t="shared" si="248"/>
        <v>4.3</v>
      </c>
      <c r="P196" s="223">
        <f t="shared" si="309"/>
        <v>0.9232258064516129</v>
      </c>
      <c r="Q196" s="223">
        <f t="shared" si="310"/>
        <v>5</v>
      </c>
      <c r="R196" s="223"/>
      <c r="S196" s="178">
        <f t="shared" si="311"/>
        <v>5.621264080580171</v>
      </c>
      <c r="T196" s="554">
        <f t="shared" si="312"/>
        <v>5</v>
      </c>
      <c r="U196" s="223">
        <f t="shared" si="313"/>
        <v>1.3972746331236898</v>
      </c>
      <c r="V196" s="223">
        <f t="shared" si="314"/>
        <v>3.4931865828092246</v>
      </c>
      <c r="W196" s="223">
        <f t="shared" si="315"/>
        <v>2.636367232308849</v>
      </c>
      <c r="X196" s="203">
        <f t="shared" si="316"/>
        <v>350</v>
      </c>
      <c r="Y196" s="454">
        <f t="shared" si="283"/>
        <v>163.14401180940393</v>
      </c>
      <c r="AA196" s="223">
        <f t="shared" si="317"/>
        <v>0.65130568356374818</v>
      </c>
      <c r="AB196" s="179">
        <f t="shared" si="318"/>
        <v>1.2288786482334872</v>
      </c>
      <c r="AC196" s="179">
        <f t="shared" si="319"/>
        <v>0.42019721520241832</v>
      </c>
      <c r="AD196" s="179"/>
      <c r="AE196" s="179">
        <f t="shared" si="320"/>
        <v>0.5660377358490567</v>
      </c>
      <c r="AF196" s="563">
        <f t="shared" si="321"/>
        <v>3376.2962962962956</v>
      </c>
      <c r="AG196" s="546">
        <f t="shared" si="322"/>
        <v>8.9150943396226423E-2</v>
      </c>
      <c r="AI196" s="179">
        <f t="shared" si="323"/>
        <v>0.9317673938223402</v>
      </c>
      <c r="AJ196" s="179">
        <f t="shared" si="324"/>
        <v>1.3972746331236898</v>
      </c>
      <c r="AK196" s="179">
        <f t="shared" si="325"/>
        <v>2.0127960245360663</v>
      </c>
      <c r="AM196" s="563">
        <f t="shared" si="326"/>
        <v>860</v>
      </c>
      <c r="AN196" s="472">
        <f t="shared" si="327"/>
        <v>163.14401180940393</v>
      </c>
      <c r="AP196">
        <f t="shared" si="328"/>
        <v>860</v>
      </c>
      <c r="AQ196">
        <f t="shared" si="329"/>
        <v>163.14401180940393</v>
      </c>
      <c r="AS196" s="6">
        <f t="shared" si="249"/>
        <v>6.129553815118074</v>
      </c>
      <c r="AT196" s="6">
        <f t="shared" si="330"/>
        <v>3.4931865828092246</v>
      </c>
      <c r="AU196" s="6">
        <f t="shared" si="284"/>
        <v>2.6363672323088494</v>
      </c>
      <c r="AV196" s="6"/>
      <c r="AW196" s="179">
        <f t="shared" si="285"/>
        <v>0.56989247311827951</v>
      </c>
      <c r="AX196" s="179">
        <f t="shared" si="245"/>
        <v>4.7777777777777777</v>
      </c>
      <c r="AY196" s="179">
        <f t="shared" si="246"/>
        <v>0.90146750524109032</v>
      </c>
      <c r="AZ196" s="179">
        <f t="shared" si="250"/>
        <v>5.2999999999999989</v>
      </c>
      <c r="BA196" s="472">
        <f t="shared" si="334"/>
        <v>60.082809224318659</v>
      </c>
      <c r="BB196" s="6">
        <f t="shared" si="335"/>
        <v>0.87472060948518915</v>
      </c>
      <c r="BD196" s="179">
        <f t="shared" si="251"/>
        <v>0.609000442053797</v>
      </c>
      <c r="BE196" s="179">
        <f t="shared" si="247"/>
        <v>1.5871973271516511</v>
      </c>
      <c r="BG196" s="546">
        <f t="shared" si="286"/>
        <v>0.12980853844760204</v>
      </c>
      <c r="BH196" s="546">
        <f t="shared" si="287"/>
        <v>4.7699999999999985E-2</v>
      </c>
      <c r="BI196" s="546">
        <f t="shared" si="288"/>
        <v>2.0393001476175492E-3</v>
      </c>
      <c r="BJ196" s="546">
        <f t="shared" si="289"/>
        <v>6.3496465116279063E-3</v>
      </c>
      <c r="BK196">
        <f t="shared" si="290"/>
        <v>3.48E-3</v>
      </c>
      <c r="BM196" s="472">
        <f t="shared" si="291"/>
        <v>189.37748510684747</v>
      </c>
      <c r="BN196" s="546">
        <f t="shared" si="292"/>
        <v>0.34400000000000003</v>
      </c>
      <c r="BQ196" s="472">
        <f t="shared" si="293"/>
        <v>344</v>
      </c>
      <c r="BR196" s="546">
        <f t="shared" si="294"/>
        <v>7.4176307684344037E-2</v>
      </c>
      <c r="BS196" s="546">
        <f t="shared" si="295"/>
        <v>0.1007678142126938</v>
      </c>
      <c r="BT196" s="546">
        <f t="shared" si="296"/>
        <v>3.9228552675452791E-2</v>
      </c>
      <c r="BU196" s="546"/>
      <c r="BV196" s="546">
        <f t="shared" si="297"/>
        <v>3.185185185185186E-2</v>
      </c>
      <c r="BW196" s="472">
        <f t="shared" si="298"/>
        <v>246.02452642434247</v>
      </c>
      <c r="BX196" s="179">
        <f t="shared" si="299"/>
        <v>0.77940201153119004</v>
      </c>
      <c r="BY196" s="6">
        <f t="shared" si="300"/>
        <v>4.3</v>
      </c>
      <c r="BZ196" s="179">
        <f t="shared" si="301"/>
        <v>0.84655634467171481</v>
      </c>
      <c r="CA196" s="6">
        <f t="shared" si="302"/>
        <v>84.655634467171481</v>
      </c>
      <c r="CD196" s="581">
        <f t="shared" si="331"/>
        <v>-50</v>
      </c>
      <c r="CE196">
        <f t="shared" si="332"/>
        <v>-50</v>
      </c>
    </row>
    <row r="197" spans="5:83" x14ac:dyDescent="0.2">
      <c r="E197" s="176">
        <v>87</v>
      </c>
      <c r="F197" s="223">
        <f t="shared" si="333"/>
        <v>0.87</v>
      </c>
      <c r="G197" s="223"/>
      <c r="H197" s="223">
        <f t="shared" si="303"/>
        <v>4.3499999999999996</v>
      </c>
      <c r="I197" s="559">
        <f t="shared" si="304"/>
        <v>12</v>
      </c>
      <c r="J197" s="454">
        <f t="shared" si="305"/>
        <v>15.899999999999999</v>
      </c>
      <c r="K197" s="454">
        <f t="shared" si="306"/>
        <v>27.9</v>
      </c>
      <c r="L197" s="454"/>
      <c r="M197" s="223">
        <f t="shared" si="307"/>
        <v>0.56989247311827951</v>
      </c>
      <c r="N197" s="178">
        <f t="shared" si="308"/>
        <v>4.6161290322580646</v>
      </c>
      <c r="O197" s="178">
        <f t="shared" si="248"/>
        <v>4.3499999999999996</v>
      </c>
      <c r="P197" s="223">
        <f t="shared" si="309"/>
        <v>0.9232258064516129</v>
      </c>
      <c r="Q197" s="223">
        <f t="shared" si="310"/>
        <v>5</v>
      </c>
      <c r="R197" s="223"/>
      <c r="S197" s="178">
        <f t="shared" si="311"/>
        <v>5.5166491729771803</v>
      </c>
      <c r="T197" s="554">
        <f t="shared" si="312"/>
        <v>5</v>
      </c>
      <c r="U197" s="223">
        <f t="shared" si="313"/>
        <v>1.4135220125786163</v>
      </c>
      <c r="V197" s="223">
        <f t="shared" si="314"/>
        <v>3.5338050314465406</v>
      </c>
      <c r="W197" s="223">
        <f t="shared" si="315"/>
        <v>2.6670226652426723</v>
      </c>
      <c r="X197" s="203">
        <f t="shared" si="316"/>
        <v>350</v>
      </c>
      <c r="Y197" s="454">
        <f t="shared" si="283"/>
        <v>161.26879328285909</v>
      </c>
      <c r="AA197" s="223">
        <f t="shared" si="317"/>
        <v>0.65130568356374818</v>
      </c>
      <c r="AB197" s="179">
        <f t="shared" si="318"/>
        <v>1.2288786482334872</v>
      </c>
      <c r="AC197" s="179">
        <f t="shared" si="319"/>
        <v>0.42019721520241832</v>
      </c>
      <c r="AD197" s="179"/>
      <c r="AE197" s="179">
        <f t="shared" si="320"/>
        <v>0.5660377358490567</v>
      </c>
      <c r="AF197" s="563">
        <f t="shared" si="321"/>
        <v>3415.5555555555552</v>
      </c>
      <c r="AG197" s="546">
        <f t="shared" si="322"/>
        <v>8.9150943396226423E-2</v>
      </c>
      <c r="AI197" s="179">
        <f t="shared" si="323"/>
        <v>0.93716898918269498</v>
      </c>
      <c r="AJ197" s="179">
        <f t="shared" si="324"/>
        <v>1.4135220125786163</v>
      </c>
      <c r="AK197" s="179">
        <f t="shared" si="325"/>
        <v>2.0248311204286047</v>
      </c>
      <c r="AM197" s="563">
        <f t="shared" si="326"/>
        <v>870</v>
      </c>
      <c r="AN197" s="472">
        <f t="shared" si="327"/>
        <v>161.26879328285909</v>
      </c>
      <c r="AP197">
        <f t="shared" si="328"/>
        <v>870</v>
      </c>
      <c r="AQ197">
        <f t="shared" si="329"/>
        <v>161.26879328285909</v>
      </c>
      <c r="AS197" s="6">
        <f t="shared" si="249"/>
        <v>6.2008276966892133</v>
      </c>
      <c r="AT197" s="6">
        <f t="shared" si="330"/>
        <v>3.5338050314465406</v>
      </c>
      <c r="AU197" s="6">
        <f t="shared" si="284"/>
        <v>2.6670226652426727</v>
      </c>
      <c r="AV197" s="6"/>
      <c r="AW197" s="179">
        <f t="shared" si="285"/>
        <v>0.56989247311827951</v>
      </c>
      <c r="AX197" s="179">
        <f t="shared" ref="AX197:AX210" si="336">0.5*L*AJ197^2*AN197*1000</f>
        <v>4.8333333333333339</v>
      </c>
      <c r="AY197" s="179">
        <f t="shared" ref="AY197:AY210" si="337">AJ197*Nps/2*(1-AW197)</f>
        <v>0.91194968553459144</v>
      </c>
      <c r="AZ197" s="179">
        <f t="shared" si="250"/>
        <v>5.2999999999999989</v>
      </c>
      <c r="BA197" s="472">
        <f t="shared" si="334"/>
        <v>61.4882075471698</v>
      </c>
      <c r="BB197" s="6">
        <f t="shared" si="335"/>
        <v>0.89518121865784117</v>
      </c>
      <c r="BD197" s="179">
        <f t="shared" si="251"/>
        <v>0.61608184254279452</v>
      </c>
      <c r="BE197" s="179">
        <f t="shared" ref="BE197:BE210" si="338">AJ197*Nps*SQRT((1-AW197)/3)</f>
        <v>1.6056531100255074</v>
      </c>
      <c r="BG197" s="546">
        <f t="shared" si="286"/>
        <v>0.13284489284882361</v>
      </c>
      <c r="BH197" s="546">
        <f t="shared" si="287"/>
        <v>4.7699999999999985E-2</v>
      </c>
      <c r="BI197" s="546">
        <f t="shared" si="288"/>
        <v>2.0158599160357386E-3</v>
      </c>
      <c r="BJ197" s="546">
        <f t="shared" si="289"/>
        <v>6.276662068965517E-3</v>
      </c>
      <c r="BK197">
        <f t="shared" si="290"/>
        <v>3.48E-3</v>
      </c>
      <c r="BM197" s="472">
        <f t="shared" si="291"/>
        <v>192.31741483382487</v>
      </c>
      <c r="BN197" s="546">
        <f t="shared" si="292"/>
        <v>0.34800000000000003</v>
      </c>
      <c r="BQ197" s="472">
        <f t="shared" si="293"/>
        <v>348.00000000000006</v>
      </c>
      <c r="BR197" s="546">
        <f t="shared" si="294"/>
        <v>7.5911367342184941E-2</v>
      </c>
      <c r="BS197" s="546">
        <f t="shared" si="295"/>
        <v>0.10312487638938336</v>
      </c>
      <c r="BT197" s="546">
        <f t="shared" si="296"/>
        <v>3.9228552675452888E-2</v>
      </c>
      <c r="BU197" s="546"/>
      <c r="BV197" s="546">
        <f t="shared" si="297"/>
        <v>3.2222222222222222E-2</v>
      </c>
      <c r="BW197" s="472">
        <f t="shared" si="298"/>
        <v>250.48701862924338</v>
      </c>
      <c r="BX197" s="179">
        <f t="shared" si="299"/>
        <v>0.79080443346306839</v>
      </c>
      <c r="BY197" s="6">
        <f t="shared" si="300"/>
        <v>4.3499999999999996</v>
      </c>
      <c r="BZ197" s="179">
        <f t="shared" si="301"/>
        <v>0.84617107231010757</v>
      </c>
      <c r="CA197" s="6">
        <f t="shared" si="302"/>
        <v>84.617107231010763</v>
      </c>
      <c r="CD197" s="581">
        <f t="shared" si="331"/>
        <v>-50</v>
      </c>
      <c r="CE197">
        <f t="shared" si="332"/>
        <v>-50</v>
      </c>
    </row>
    <row r="198" spans="5:83" x14ac:dyDescent="0.2">
      <c r="E198" s="176">
        <v>88</v>
      </c>
      <c r="F198" s="223">
        <f t="shared" si="333"/>
        <v>0.88</v>
      </c>
      <c r="G198" s="223"/>
      <c r="H198" s="223">
        <f t="shared" si="303"/>
        <v>4.4000000000000004</v>
      </c>
      <c r="I198" s="559">
        <f t="shared" si="304"/>
        <v>12</v>
      </c>
      <c r="J198" s="454">
        <f t="shared" si="305"/>
        <v>15.899999999999999</v>
      </c>
      <c r="K198" s="454">
        <f t="shared" si="306"/>
        <v>27.9</v>
      </c>
      <c r="L198" s="454"/>
      <c r="M198" s="223">
        <f t="shared" si="307"/>
        <v>0.56989247311827951</v>
      </c>
      <c r="N198" s="178">
        <f t="shared" si="308"/>
        <v>4.6161290322580646</v>
      </c>
      <c r="O198" s="178">
        <f t="shared" ref="O198:O261" si="339">T198*F198</f>
        <v>4.4000000000000004</v>
      </c>
      <c r="P198" s="223">
        <f t="shared" si="309"/>
        <v>0.9232258064516129</v>
      </c>
      <c r="Q198" s="223">
        <f t="shared" si="310"/>
        <v>5</v>
      </c>
      <c r="R198" s="223"/>
      <c r="S198" s="178">
        <f t="shared" si="311"/>
        <v>5.4145362478409531</v>
      </c>
      <c r="T198" s="554">
        <f t="shared" si="312"/>
        <v>5</v>
      </c>
      <c r="U198" s="223">
        <f t="shared" si="313"/>
        <v>1.4297693920335433</v>
      </c>
      <c r="V198" s="223">
        <f t="shared" si="314"/>
        <v>3.5744234800838584</v>
      </c>
      <c r="W198" s="223">
        <f t="shared" si="315"/>
        <v>2.697678098176497</v>
      </c>
      <c r="X198" s="203">
        <f t="shared" si="316"/>
        <v>350</v>
      </c>
      <c r="Y198" s="454">
        <f t="shared" si="283"/>
        <v>159.43619335919018</v>
      </c>
      <c r="AA198" s="223">
        <f t="shared" si="317"/>
        <v>0.65130568356374818</v>
      </c>
      <c r="AB198" s="179">
        <f t="shared" si="318"/>
        <v>1.2288786482334872</v>
      </c>
      <c r="AC198" s="179">
        <f t="shared" si="319"/>
        <v>0.42019721520241832</v>
      </c>
      <c r="AD198" s="179"/>
      <c r="AE198" s="179">
        <f t="shared" si="320"/>
        <v>0.5660377358490567</v>
      </c>
      <c r="AF198" s="563">
        <f t="shared" si="321"/>
        <v>3454.8148148148143</v>
      </c>
      <c r="AG198" s="546">
        <f t="shared" si="322"/>
        <v>8.9150943396226423E-2</v>
      </c>
      <c r="AI198" s="179">
        <f t="shared" si="323"/>
        <v>0.94253962907718225</v>
      </c>
      <c r="AJ198" s="179">
        <f t="shared" si="324"/>
        <v>1.4297693920335433</v>
      </c>
      <c r="AK198" s="179">
        <f t="shared" si="325"/>
        <v>2.0368662163211431</v>
      </c>
      <c r="AM198" s="563">
        <f t="shared" si="326"/>
        <v>880</v>
      </c>
      <c r="AN198" s="472">
        <f t="shared" si="327"/>
        <v>159.43619335919018</v>
      </c>
      <c r="AP198">
        <f t="shared" si="328"/>
        <v>880</v>
      </c>
      <c r="AQ198">
        <f t="shared" si="329"/>
        <v>159.43619335919018</v>
      </c>
      <c r="AS198" s="6">
        <f t="shared" ref="AS198:AS262" si="340">1/AN198*1000</f>
        <v>6.2721015782603562</v>
      </c>
      <c r="AT198" s="6">
        <f t="shared" si="330"/>
        <v>3.5744234800838584</v>
      </c>
      <c r="AU198" s="6">
        <f t="shared" si="284"/>
        <v>2.6976780981764978</v>
      </c>
      <c r="AV198" s="6"/>
      <c r="AW198" s="179">
        <f t="shared" si="285"/>
        <v>0.56989247311827951</v>
      </c>
      <c r="AX198" s="179">
        <f t="shared" si="336"/>
        <v>4.8888888888888884</v>
      </c>
      <c r="AY198" s="179">
        <f t="shared" si="337"/>
        <v>0.92243186582809245</v>
      </c>
      <c r="AZ198" s="179">
        <f t="shared" ref="AZ198:AZ210" si="341">AX198/AY198</f>
        <v>5.299999999999998</v>
      </c>
      <c r="BA198" s="472">
        <f t="shared" si="334"/>
        <v>62.909853249475901</v>
      </c>
      <c r="BB198" s="6">
        <f t="shared" si="335"/>
        <v>0.91587836666486033</v>
      </c>
      <c r="BD198" s="179">
        <f t="shared" ref="BD198:BD210" si="342">AJ198*SQRT(AW198/3)</f>
        <v>0.62316324303179238</v>
      </c>
      <c r="BE198" s="179">
        <f t="shared" si="338"/>
        <v>1.6241088928993639</v>
      </c>
      <c r="BG198" s="546">
        <f t="shared" si="286"/>
        <v>0.13591634961306526</v>
      </c>
      <c r="BH198" s="546">
        <f t="shared" si="287"/>
        <v>4.7699999999999979E-2</v>
      </c>
      <c r="BI198" s="546">
        <f t="shared" si="288"/>
        <v>1.9929524169898776E-3</v>
      </c>
      <c r="BJ198" s="546">
        <f t="shared" si="289"/>
        <v>6.205336363636362E-3</v>
      </c>
      <c r="BK198">
        <f t="shared" si="290"/>
        <v>3.48E-3</v>
      </c>
      <c r="BM198" s="472">
        <f t="shared" si="291"/>
        <v>195.29463839369146</v>
      </c>
      <c r="BN198" s="546">
        <f t="shared" si="292"/>
        <v>0.35200000000000004</v>
      </c>
      <c r="BQ198" s="472">
        <f t="shared" si="293"/>
        <v>352.00000000000006</v>
      </c>
      <c r="BR198" s="546">
        <f t="shared" si="294"/>
        <v>7.7666485493180157E-2</v>
      </c>
      <c r="BS198" s="546">
        <f t="shared" si="295"/>
        <v>0.10550918783979191</v>
      </c>
      <c r="BT198" s="546">
        <f t="shared" si="296"/>
        <v>3.9228552675452832E-2</v>
      </c>
      <c r="BU198" s="546"/>
      <c r="BV198" s="546">
        <f t="shared" si="297"/>
        <v>3.2592592592592597E-2</v>
      </c>
      <c r="BW198" s="472">
        <f t="shared" si="298"/>
        <v>254.99681860101754</v>
      </c>
      <c r="BX198" s="179">
        <f t="shared" si="299"/>
        <v>0.80229145699470894</v>
      </c>
      <c r="BY198" s="6">
        <f t="shared" si="300"/>
        <v>4.4000000000000004</v>
      </c>
      <c r="BZ198" s="179">
        <f t="shared" si="301"/>
        <v>0.84578114017122341</v>
      </c>
      <c r="CA198" s="6">
        <f t="shared" si="302"/>
        <v>84.578114017122346</v>
      </c>
      <c r="CD198" s="581">
        <f t="shared" si="331"/>
        <v>-50</v>
      </c>
      <c r="CE198">
        <f t="shared" si="332"/>
        <v>-50</v>
      </c>
    </row>
    <row r="199" spans="5:83" x14ac:dyDescent="0.2">
      <c r="E199" s="176">
        <v>89</v>
      </c>
      <c r="F199" s="223">
        <f t="shared" si="333"/>
        <v>0.89</v>
      </c>
      <c r="G199" s="223"/>
      <c r="H199" s="223">
        <f t="shared" si="303"/>
        <v>4.45</v>
      </c>
      <c r="I199" s="559">
        <f t="shared" si="304"/>
        <v>12</v>
      </c>
      <c r="J199" s="454">
        <f t="shared" si="305"/>
        <v>15.899999999999999</v>
      </c>
      <c r="K199" s="454">
        <f t="shared" si="306"/>
        <v>27.9</v>
      </c>
      <c r="L199" s="454"/>
      <c r="M199" s="223">
        <f t="shared" si="307"/>
        <v>0.56989247311827951</v>
      </c>
      <c r="N199" s="178">
        <f t="shared" si="308"/>
        <v>4.6161290322580646</v>
      </c>
      <c r="O199" s="178">
        <f t="shared" si="339"/>
        <v>4.45</v>
      </c>
      <c r="P199" s="223">
        <f t="shared" si="309"/>
        <v>0.9232258064516129</v>
      </c>
      <c r="Q199" s="223">
        <f t="shared" si="310"/>
        <v>5</v>
      </c>
      <c r="R199" s="223"/>
      <c r="S199" s="178">
        <f t="shared" si="311"/>
        <v>5.3148428451951935</v>
      </c>
      <c r="T199" s="554">
        <f t="shared" si="312"/>
        <v>5</v>
      </c>
      <c r="U199" s="223">
        <f t="shared" si="313"/>
        <v>1.4460167714884697</v>
      </c>
      <c r="V199" s="223">
        <f t="shared" si="314"/>
        <v>3.6150419287211748</v>
      </c>
      <c r="W199" s="223">
        <f t="shared" si="315"/>
        <v>2.7283335311103203</v>
      </c>
      <c r="X199" s="203">
        <f t="shared" si="316"/>
        <v>350</v>
      </c>
      <c r="Y199" s="454">
        <f t="shared" si="283"/>
        <v>157.64477545627796</v>
      </c>
      <c r="AA199" s="223">
        <f t="shared" si="317"/>
        <v>0.65130568356374818</v>
      </c>
      <c r="AB199" s="179">
        <f t="shared" si="318"/>
        <v>1.2288786482334872</v>
      </c>
      <c r="AC199" s="179">
        <f t="shared" si="319"/>
        <v>0.42019721520241832</v>
      </c>
      <c r="AD199" s="179"/>
      <c r="AE199" s="179">
        <f t="shared" si="320"/>
        <v>0.5660377358490567</v>
      </c>
      <c r="AF199" s="563">
        <f t="shared" si="321"/>
        <v>3494.0740740740739</v>
      </c>
      <c r="AG199" s="546">
        <f t="shared" si="322"/>
        <v>8.9150943396226423E-2</v>
      </c>
      <c r="AI199" s="179">
        <f t="shared" si="323"/>
        <v>0.94787983968232514</v>
      </c>
      <c r="AJ199" s="179">
        <f t="shared" si="324"/>
        <v>1.4460167714884697</v>
      </c>
      <c r="AK199" s="179">
        <f t="shared" si="325"/>
        <v>2.0489013122136814</v>
      </c>
      <c r="AM199" s="563">
        <f t="shared" si="326"/>
        <v>890</v>
      </c>
      <c r="AN199" s="472">
        <f t="shared" si="327"/>
        <v>157.64477545627796</v>
      </c>
      <c r="AP199">
        <f t="shared" si="328"/>
        <v>890</v>
      </c>
      <c r="AQ199">
        <f t="shared" si="329"/>
        <v>157.64477545627796</v>
      </c>
      <c r="AS199" s="6">
        <f t="shared" si="340"/>
        <v>6.3433754598314946</v>
      </c>
      <c r="AT199" s="6">
        <f t="shared" si="330"/>
        <v>3.6150419287211748</v>
      </c>
      <c r="AU199" s="6">
        <f t="shared" si="284"/>
        <v>2.7283335311103198</v>
      </c>
      <c r="AV199" s="6"/>
      <c r="AW199" s="179">
        <f t="shared" si="285"/>
        <v>0.56989247311827962</v>
      </c>
      <c r="AX199" s="179">
        <f t="shared" si="336"/>
        <v>4.9444444444444446</v>
      </c>
      <c r="AY199" s="179">
        <f t="shared" si="337"/>
        <v>0.93291404612159323</v>
      </c>
      <c r="AZ199" s="179">
        <f t="shared" si="341"/>
        <v>5.3000000000000007</v>
      </c>
      <c r="BA199" s="472">
        <f t="shared" si="334"/>
        <v>64.347746331236905</v>
      </c>
      <c r="BB199" s="6">
        <f t="shared" si="335"/>
        <v>0.93681205350624397</v>
      </c>
      <c r="BD199" s="179">
        <f t="shared" si="342"/>
        <v>0.63024464352079002</v>
      </c>
      <c r="BE199" s="179">
        <f t="shared" si="338"/>
        <v>1.64256467577322</v>
      </c>
      <c r="BG199" s="546">
        <f t="shared" si="286"/>
        <v>0.13902290874032669</v>
      </c>
      <c r="BH199" s="546">
        <f t="shared" si="287"/>
        <v>4.7699999999999985E-2</v>
      </c>
      <c r="BI199" s="546">
        <f t="shared" si="288"/>
        <v>1.9705596932034744E-3</v>
      </c>
      <c r="BJ199" s="546">
        <f t="shared" si="289"/>
        <v>6.1356134831460664E-3</v>
      </c>
      <c r="BK199">
        <f t="shared" si="290"/>
        <v>3.48E-3</v>
      </c>
      <c r="BM199" s="472">
        <f t="shared" si="291"/>
        <v>198.30908191667623</v>
      </c>
      <c r="BN199" s="546">
        <f t="shared" si="292"/>
        <v>0.35600000000000004</v>
      </c>
      <c r="BQ199" s="472">
        <f t="shared" si="293"/>
        <v>356.00000000000006</v>
      </c>
      <c r="BR199" s="546">
        <f t="shared" si="294"/>
        <v>7.9441662137329547E-2</v>
      </c>
      <c r="BS199" s="546">
        <f t="shared" si="295"/>
        <v>0.10792074856391932</v>
      </c>
      <c r="BT199" s="546">
        <f t="shared" si="296"/>
        <v>3.9228552675452777E-2</v>
      </c>
      <c r="BU199" s="546"/>
      <c r="BV199" s="546">
        <f t="shared" si="297"/>
        <v>3.2962962962962965E-2</v>
      </c>
      <c r="BW199" s="472">
        <f t="shared" si="298"/>
        <v>259.5539263396646</v>
      </c>
      <c r="BX199" s="179">
        <f t="shared" si="299"/>
        <v>0.81386300825634084</v>
      </c>
      <c r="BY199" s="6">
        <f t="shared" si="300"/>
        <v>4.45</v>
      </c>
      <c r="BZ199" s="179">
        <f t="shared" si="301"/>
        <v>0.84538674221198362</v>
      </c>
      <c r="CA199" s="6">
        <f t="shared" si="302"/>
        <v>84.538674221198363</v>
      </c>
      <c r="CD199" s="581">
        <f t="shared" si="331"/>
        <v>-50</v>
      </c>
      <c r="CE199">
        <f t="shared" si="332"/>
        <v>-50</v>
      </c>
    </row>
    <row r="200" spans="5:83" x14ac:dyDescent="0.2">
      <c r="E200" s="176">
        <v>90</v>
      </c>
      <c r="F200" s="223">
        <f t="shared" si="333"/>
        <v>0.9</v>
      </c>
      <c r="G200" s="223"/>
      <c r="H200" s="223">
        <f t="shared" si="303"/>
        <v>4.5</v>
      </c>
      <c r="I200" s="559">
        <f t="shared" si="304"/>
        <v>12</v>
      </c>
      <c r="J200" s="454">
        <f t="shared" si="305"/>
        <v>15.899999999999999</v>
      </c>
      <c r="K200" s="454">
        <f t="shared" si="306"/>
        <v>27.9</v>
      </c>
      <c r="L200" s="454"/>
      <c r="M200" s="223">
        <f t="shared" si="307"/>
        <v>0.56989247311827951</v>
      </c>
      <c r="N200" s="178">
        <f t="shared" si="308"/>
        <v>4.6161290322580646</v>
      </c>
      <c r="O200" s="178">
        <f t="shared" si="339"/>
        <v>4.5</v>
      </c>
      <c r="P200" s="223">
        <f t="shared" si="309"/>
        <v>0.9232258064516129</v>
      </c>
      <c r="Q200" s="223">
        <f t="shared" si="310"/>
        <v>5</v>
      </c>
      <c r="R200" s="223"/>
      <c r="S200" s="178">
        <f t="shared" si="311"/>
        <v>5.2174901917879337</v>
      </c>
      <c r="T200" s="554">
        <f t="shared" si="312"/>
        <v>5</v>
      </c>
      <c r="U200" s="223">
        <f t="shared" si="313"/>
        <v>1.4622641509433962</v>
      </c>
      <c r="V200" s="223">
        <f t="shared" si="314"/>
        <v>3.6556603773584908</v>
      </c>
      <c r="W200" s="223">
        <f t="shared" si="315"/>
        <v>2.7589889640441445</v>
      </c>
      <c r="X200" s="203">
        <f t="shared" si="316"/>
        <v>350</v>
      </c>
      <c r="Y200" s="454">
        <f t="shared" si="283"/>
        <v>155.89316684009711</v>
      </c>
      <c r="AA200" s="223">
        <f t="shared" si="317"/>
        <v>0.65130568356374818</v>
      </c>
      <c r="AB200" s="179">
        <f t="shared" si="318"/>
        <v>1.2288786482334872</v>
      </c>
      <c r="AC200" s="179">
        <f t="shared" si="319"/>
        <v>0.42019721520241832</v>
      </c>
      <c r="AD200" s="179"/>
      <c r="AE200" s="179">
        <f t="shared" si="320"/>
        <v>0.5660377358490567</v>
      </c>
      <c r="AF200" s="563">
        <f t="shared" si="321"/>
        <v>3533.3333333333326</v>
      </c>
      <c r="AG200" s="546">
        <f t="shared" si="322"/>
        <v>8.9150943396226423E-2</v>
      </c>
      <c r="AI200" s="179">
        <f t="shared" si="323"/>
        <v>0.95319013243498718</v>
      </c>
      <c r="AJ200" s="179">
        <f t="shared" si="324"/>
        <v>1.4622641509433962</v>
      </c>
      <c r="AK200" s="179">
        <f t="shared" si="325"/>
        <v>2.0609364081062194</v>
      </c>
      <c r="AM200" s="563">
        <f t="shared" si="326"/>
        <v>900</v>
      </c>
      <c r="AN200" s="472">
        <f t="shared" si="327"/>
        <v>155.89316684009711</v>
      </c>
      <c r="AP200">
        <f t="shared" si="328"/>
        <v>900</v>
      </c>
      <c r="AQ200">
        <f t="shared" si="329"/>
        <v>155.89316684009711</v>
      </c>
      <c r="AS200" s="6">
        <f t="shared" si="340"/>
        <v>6.4146493414026349</v>
      </c>
      <c r="AT200" s="6">
        <f t="shared" si="330"/>
        <v>3.6556603773584908</v>
      </c>
      <c r="AU200" s="6">
        <f t="shared" si="284"/>
        <v>2.7589889640441441</v>
      </c>
      <c r="AV200" s="6"/>
      <c r="AW200" s="179">
        <f t="shared" si="285"/>
        <v>0.56989247311827962</v>
      </c>
      <c r="AX200" s="179">
        <f t="shared" si="336"/>
        <v>4.9999999999999991</v>
      </c>
      <c r="AY200" s="179">
        <f t="shared" si="337"/>
        <v>0.94339622641509435</v>
      </c>
      <c r="AZ200" s="179">
        <f t="shared" si="341"/>
        <v>5.2999999999999989</v>
      </c>
      <c r="BA200" s="472">
        <f t="shared" si="334"/>
        <v>65.801886792452848</v>
      </c>
      <c r="BB200" s="6">
        <f t="shared" si="335"/>
        <v>0.95798227918199441</v>
      </c>
      <c r="BD200" s="179">
        <f t="shared" si="342"/>
        <v>0.63732604400978754</v>
      </c>
      <c r="BE200" s="179">
        <f t="shared" si="338"/>
        <v>1.6610204586470765</v>
      </c>
      <c r="BG200" s="546">
        <f t="shared" si="286"/>
        <v>0.14216457023060797</v>
      </c>
      <c r="BH200" s="546">
        <f t="shared" si="287"/>
        <v>4.7699999999999985E-2</v>
      </c>
      <c r="BI200" s="546">
        <f t="shared" si="288"/>
        <v>1.9486645855012138E-3</v>
      </c>
      <c r="BJ200" s="546">
        <f t="shared" si="289"/>
        <v>6.0674400000000003E-3</v>
      </c>
      <c r="BK200">
        <f t="shared" si="290"/>
        <v>3.48E-3</v>
      </c>
      <c r="BM200" s="472">
        <f t="shared" si="291"/>
        <v>201.3606748161092</v>
      </c>
      <c r="BN200" s="546">
        <f t="shared" si="292"/>
        <v>0.36000000000000004</v>
      </c>
      <c r="BQ200" s="472">
        <f t="shared" si="293"/>
        <v>360.00000000000006</v>
      </c>
      <c r="BR200" s="546">
        <f t="shared" si="294"/>
        <v>8.1236897274633124E-2</v>
      </c>
      <c r="BS200" s="546">
        <f t="shared" si="295"/>
        <v>0.11035955856176578</v>
      </c>
      <c r="BT200" s="546">
        <f t="shared" si="296"/>
        <v>3.9228552675452784E-2</v>
      </c>
      <c r="BU200" s="546"/>
      <c r="BV200" s="546">
        <f t="shared" si="297"/>
        <v>3.3333333333333326E-2</v>
      </c>
      <c r="BW200" s="472">
        <f t="shared" si="298"/>
        <v>264.15834184518502</v>
      </c>
      <c r="BX200" s="179">
        <f t="shared" si="299"/>
        <v>0.82551901666129435</v>
      </c>
      <c r="BY200" s="6">
        <f t="shared" si="300"/>
        <v>4.5</v>
      </c>
      <c r="BZ200" s="179">
        <f t="shared" si="301"/>
        <v>0.84498806330827192</v>
      </c>
      <c r="CA200" s="6">
        <f t="shared" si="302"/>
        <v>84.498806330827193</v>
      </c>
      <c r="CD200" s="581">
        <f t="shared" si="331"/>
        <v>-50</v>
      </c>
      <c r="CE200">
        <f t="shared" si="332"/>
        <v>-50</v>
      </c>
    </row>
    <row r="201" spans="5:83" x14ac:dyDescent="0.2">
      <c r="E201" s="176">
        <v>91</v>
      </c>
      <c r="F201" s="223">
        <f t="shared" si="333"/>
        <v>0.91</v>
      </c>
      <c r="G201" s="223"/>
      <c r="H201" s="223">
        <f t="shared" si="303"/>
        <v>4.55</v>
      </c>
      <c r="I201" s="559">
        <f t="shared" si="304"/>
        <v>12</v>
      </c>
      <c r="J201" s="454">
        <f t="shared" si="305"/>
        <v>15.899999999999999</v>
      </c>
      <c r="K201" s="454">
        <f t="shared" si="306"/>
        <v>27.9</v>
      </c>
      <c r="L201" s="454"/>
      <c r="M201" s="223">
        <f t="shared" si="307"/>
        <v>0.56989247311827951</v>
      </c>
      <c r="N201" s="178">
        <f t="shared" si="308"/>
        <v>4.6161290322580646</v>
      </c>
      <c r="O201" s="178">
        <f t="shared" si="339"/>
        <v>4.55</v>
      </c>
      <c r="P201" s="223">
        <f t="shared" si="309"/>
        <v>0.9232258064516129</v>
      </c>
      <c r="Q201" s="223">
        <f t="shared" si="310"/>
        <v>5</v>
      </c>
      <c r="R201" s="223"/>
      <c r="S201" s="178">
        <f t="shared" si="311"/>
        <v>5.1224029982646835</v>
      </c>
      <c r="T201" s="554">
        <f t="shared" si="312"/>
        <v>5</v>
      </c>
      <c r="U201" s="223">
        <f t="shared" si="313"/>
        <v>1.4785115303983229</v>
      </c>
      <c r="V201" s="223">
        <f t="shared" si="314"/>
        <v>3.6962788259958073</v>
      </c>
      <c r="W201" s="223">
        <f t="shared" si="315"/>
        <v>2.7896443969779683</v>
      </c>
      <c r="X201" s="203">
        <f t="shared" si="316"/>
        <v>350</v>
      </c>
      <c r="Y201" s="454">
        <f t="shared" si="283"/>
        <v>154.18005511657952</v>
      </c>
      <c r="AA201" s="223">
        <f t="shared" si="317"/>
        <v>0.65130568356374818</v>
      </c>
      <c r="AB201" s="179">
        <f t="shared" si="318"/>
        <v>1.2288786482334872</v>
      </c>
      <c r="AC201" s="179">
        <f t="shared" si="319"/>
        <v>0.42019721520241832</v>
      </c>
      <c r="AD201" s="179"/>
      <c r="AE201" s="179">
        <f t="shared" si="320"/>
        <v>0.5660377358490567</v>
      </c>
      <c r="AF201" s="563">
        <f t="shared" si="321"/>
        <v>3572.5925925925917</v>
      </c>
      <c r="AG201" s="546">
        <f t="shared" si="322"/>
        <v>8.9150943396226423E-2</v>
      </c>
      <c r="AI201" s="179">
        <f t="shared" si="323"/>
        <v>0.95847100460403423</v>
      </c>
      <c r="AJ201" s="179">
        <f t="shared" si="324"/>
        <v>1.4785115303983229</v>
      </c>
      <c r="AK201" s="179">
        <f t="shared" si="325"/>
        <v>2.0729715039987577</v>
      </c>
      <c r="AM201" s="563">
        <f t="shared" si="326"/>
        <v>910</v>
      </c>
      <c r="AN201" s="472">
        <f t="shared" si="327"/>
        <v>154.18005511657952</v>
      </c>
      <c r="AP201">
        <f t="shared" si="328"/>
        <v>910</v>
      </c>
      <c r="AQ201">
        <f t="shared" si="329"/>
        <v>154.18005511657952</v>
      </c>
      <c r="AS201" s="6">
        <f t="shared" si="340"/>
        <v>6.4859232229737769</v>
      </c>
      <c r="AT201" s="6">
        <f t="shared" si="330"/>
        <v>3.6962788259958073</v>
      </c>
      <c r="AU201" s="6">
        <f t="shared" si="284"/>
        <v>2.7896443969779696</v>
      </c>
      <c r="AV201" s="6"/>
      <c r="AW201" s="179">
        <f t="shared" si="285"/>
        <v>0.5698924731182794</v>
      </c>
      <c r="AX201" s="179">
        <f t="shared" si="336"/>
        <v>5.0555555555555554</v>
      </c>
      <c r="AY201" s="179">
        <f t="shared" si="337"/>
        <v>0.95387840670859592</v>
      </c>
      <c r="AZ201" s="179">
        <f t="shared" si="341"/>
        <v>5.2999999999999972</v>
      </c>
      <c r="BA201" s="472">
        <f t="shared" si="334"/>
        <v>67.2722746331237</v>
      </c>
      <c r="BB201" s="6">
        <f t="shared" si="335"/>
        <v>0.97938904369211099</v>
      </c>
      <c r="BD201" s="179">
        <f t="shared" si="342"/>
        <v>0.64440744449878506</v>
      </c>
      <c r="BE201" s="179">
        <f t="shared" si="338"/>
        <v>1.679476241520933</v>
      </c>
      <c r="BG201" s="546">
        <f t="shared" si="286"/>
        <v>0.14534133408390915</v>
      </c>
      <c r="BH201" s="546">
        <f t="shared" si="287"/>
        <v>4.7699999999999979E-2</v>
      </c>
      <c r="BI201" s="546">
        <f t="shared" si="288"/>
        <v>1.9272506889572438E-3</v>
      </c>
      <c r="BJ201" s="546">
        <f t="shared" si="289"/>
        <v>6.0007648351648336E-3</v>
      </c>
      <c r="BK201">
        <f t="shared" si="290"/>
        <v>3.48E-3</v>
      </c>
      <c r="BM201" s="472">
        <f t="shared" si="291"/>
        <v>204.44934960803121</v>
      </c>
      <c r="BN201" s="546">
        <f t="shared" si="292"/>
        <v>0.36400000000000005</v>
      </c>
      <c r="BQ201" s="472">
        <f t="shared" si="293"/>
        <v>364.00000000000006</v>
      </c>
      <c r="BR201" s="546">
        <f t="shared" si="294"/>
        <v>8.3052190905090958E-2</v>
      </c>
      <c r="BS201" s="546">
        <f t="shared" si="295"/>
        <v>0.11282561783333117</v>
      </c>
      <c r="BT201" s="546">
        <f t="shared" si="296"/>
        <v>3.9228552675452791E-2</v>
      </c>
      <c r="BU201" s="546"/>
      <c r="BV201" s="546">
        <f t="shared" si="297"/>
        <v>3.3703703703703701E-2</v>
      </c>
      <c r="BW201" s="472">
        <f t="shared" si="298"/>
        <v>268.81006511757857</v>
      </c>
      <c r="BX201" s="179">
        <f t="shared" si="299"/>
        <v>0.83725941472560994</v>
      </c>
      <c r="BY201" s="6">
        <f t="shared" si="300"/>
        <v>4.55</v>
      </c>
      <c r="BZ201" s="179">
        <f t="shared" si="301"/>
        <v>0.8445852797737875</v>
      </c>
      <c r="CA201" s="6">
        <f t="shared" si="302"/>
        <v>84.458527977378751</v>
      </c>
      <c r="CD201" s="581">
        <f t="shared" si="331"/>
        <v>-50</v>
      </c>
      <c r="CE201">
        <f t="shared" si="332"/>
        <v>-50</v>
      </c>
    </row>
    <row r="202" spans="5:83" x14ac:dyDescent="0.2">
      <c r="E202" s="176">
        <v>92</v>
      </c>
      <c r="F202" s="223">
        <f t="shared" si="333"/>
        <v>0.92</v>
      </c>
      <c r="G202" s="223"/>
      <c r="H202" s="223">
        <f t="shared" si="303"/>
        <v>4.6000000000000005</v>
      </c>
      <c r="I202" s="559">
        <f t="shared" si="304"/>
        <v>12</v>
      </c>
      <c r="J202" s="454">
        <f t="shared" si="305"/>
        <v>15.899999999999999</v>
      </c>
      <c r="K202" s="454">
        <f t="shared" si="306"/>
        <v>27.9</v>
      </c>
      <c r="L202" s="454"/>
      <c r="M202" s="223">
        <f t="shared" si="307"/>
        <v>0.56989247311827951</v>
      </c>
      <c r="N202" s="178">
        <f t="shared" si="308"/>
        <v>4.6161290322580646</v>
      </c>
      <c r="O202" s="178">
        <f t="shared" si="339"/>
        <v>4.6000000000000005</v>
      </c>
      <c r="P202" s="223">
        <f t="shared" si="309"/>
        <v>0.9232258064516129</v>
      </c>
      <c r="Q202" s="223">
        <f t="shared" si="310"/>
        <v>5</v>
      </c>
      <c r="R202" s="223"/>
      <c r="S202" s="178">
        <f t="shared" si="311"/>
        <v>5.0295092695353194</v>
      </c>
      <c r="T202" s="554">
        <f t="shared" si="312"/>
        <v>5</v>
      </c>
      <c r="U202" s="223">
        <f t="shared" si="313"/>
        <v>1.4947589098532497</v>
      </c>
      <c r="V202" s="223">
        <f t="shared" si="314"/>
        <v>3.7368972746331242</v>
      </c>
      <c r="W202" s="223">
        <f t="shared" si="315"/>
        <v>2.8202998299117921</v>
      </c>
      <c r="X202" s="203">
        <f t="shared" si="316"/>
        <v>350</v>
      </c>
      <c r="Y202" s="454">
        <f t="shared" si="283"/>
        <v>152.5041849522689</v>
      </c>
      <c r="AA202" s="223">
        <f t="shared" si="317"/>
        <v>0.65130568356374818</v>
      </c>
      <c r="AB202" s="179">
        <f t="shared" si="318"/>
        <v>1.2288786482334872</v>
      </c>
      <c r="AC202" s="179">
        <f t="shared" si="319"/>
        <v>0.42019721520241832</v>
      </c>
      <c r="AD202" s="179"/>
      <c r="AE202" s="179">
        <f t="shared" si="320"/>
        <v>0.5660377358490567</v>
      </c>
      <c r="AF202" s="563">
        <f t="shared" si="321"/>
        <v>3611.8518518518513</v>
      </c>
      <c r="AG202" s="546">
        <f t="shared" si="322"/>
        <v>8.9150943396226423E-2</v>
      </c>
      <c r="AI202" s="179">
        <f t="shared" si="323"/>
        <v>0.96372293983380131</v>
      </c>
      <c r="AJ202" s="179">
        <f t="shared" si="324"/>
        <v>1.4947589098532497</v>
      </c>
      <c r="AK202" s="179">
        <f t="shared" si="325"/>
        <v>2.0850065998912961</v>
      </c>
      <c r="AM202" s="563">
        <f t="shared" si="326"/>
        <v>920</v>
      </c>
      <c r="AN202" s="472">
        <f t="shared" si="327"/>
        <v>152.5041849522689</v>
      </c>
      <c r="AP202">
        <f t="shared" si="328"/>
        <v>920</v>
      </c>
      <c r="AQ202">
        <f t="shared" si="329"/>
        <v>152.5041849522689</v>
      </c>
      <c r="AS202" s="6">
        <f t="shared" si="340"/>
        <v>6.5571971045449162</v>
      </c>
      <c r="AT202" s="6">
        <f t="shared" si="330"/>
        <v>3.7368972746331242</v>
      </c>
      <c r="AU202" s="6">
        <f t="shared" si="284"/>
        <v>2.8202998299117921</v>
      </c>
      <c r="AV202" s="6"/>
      <c r="AW202" s="179">
        <f t="shared" si="285"/>
        <v>0.56989247311827951</v>
      </c>
      <c r="AX202" s="179">
        <f t="shared" si="336"/>
        <v>5.1111111111111116</v>
      </c>
      <c r="AY202" s="179">
        <f t="shared" si="337"/>
        <v>0.9643605870020967</v>
      </c>
      <c r="AZ202" s="179">
        <f t="shared" si="341"/>
        <v>5.2999999999999989</v>
      </c>
      <c r="BA202" s="472">
        <f t="shared" si="334"/>
        <v>68.758909853249492</v>
      </c>
      <c r="BB202" s="6">
        <f t="shared" si="335"/>
        <v>1.0010323470365929</v>
      </c>
      <c r="BD202" s="179">
        <f t="shared" si="342"/>
        <v>0.65148884498778281</v>
      </c>
      <c r="BE202" s="179">
        <f t="shared" si="338"/>
        <v>1.6979320243947895</v>
      </c>
      <c r="BG202" s="546">
        <f t="shared" si="286"/>
        <v>0.14855320030023034</v>
      </c>
      <c r="BH202" s="546">
        <f t="shared" si="287"/>
        <v>4.7699999999999985E-2</v>
      </c>
      <c r="BI202" s="546">
        <f t="shared" si="288"/>
        <v>1.9063023119033611E-3</v>
      </c>
      <c r="BJ202" s="546">
        <f t="shared" si="289"/>
        <v>5.935539130434782E-3</v>
      </c>
      <c r="BK202">
        <f t="shared" si="290"/>
        <v>3.48E-3</v>
      </c>
      <c r="BM202" s="472">
        <f t="shared" si="291"/>
        <v>207.57504174256849</v>
      </c>
      <c r="BN202" s="546">
        <f t="shared" si="292"/>
        <v>0.36800000000000005</v>
      </c>
      <c r="BQ202" s="472">
        <f t="shared" si="293"/>
        <v>368.00000000000006</v>
      </c>
      <c r="BR202" s="546">
        <f t="shared" si="294"/>
        <v>8.4887543028703064E-2</v>
      </c>
      <c r="BS202" s="546">
        <f t="shared" si="295"/>
        <v>0.11531892637861553</v>
      </c>
      <c r="BT202" s="546">
        <f t="shared" si="296"/>
        <v>3.9228552675452853E-2</v>
      </c>
      <c r="BU202" s="546"/>
      <c r="BV202" s="546">
        <f t="shared" si="297"/>
        <v>3.4074074074074076E-2</v>
      </c>
      <c r="BW202" s="472">
        <f t="shared" si="298"/>
        <v>273.50909615684554</v>
      </c>
      <c r="BX202" s="179">
        <f t="shared" si="299"/>
        <v>0.84908413789941406</v>
      </c>
      <c r="BY202" s="6">
        <f t="shared" si="300"/>
        <v>4.6000000000000005</v>
      </c>
      <c r="BZ202" s="179">
        <f t="shared" si="301"/>
        <v>0.84417855984386936</v>
      </c>
      <c r="CA202" s="6">
        <f t="shared" si="302"/>
        <v>84.417855984386932</v>
      </c>
      <c r="CD202" s="581">
        <f t="shared" si="331"/>
        <v>-50</v>
      </c>
      <c r="CE202">
        <f t="shared" si="332"/>
        <v>-50</v>
      </c>
    </row>
    <row r="203" spans="5:83" x14ac:dyDescent="0.2">
      <c r="E203" s="176">
        <v>93</v>
      </c>
      <c r="F203" s="223">
        <f t="shared" si="333"/>
        <v>0.93</v>
      </c>
      <c r="G203" s="223"/>
      <c r="H203" s="223">
        <f t="shared" si="303"/>
        <v>4.6500000000000004</v>
      </c>
      <c r="I203" s="559">
        <f t="shared" si="304"/>
        <v>12</v>
      </c>
      <c r="J203" s="454">
        <f t="shared" si="305"/>
        <v>15.716220382020527</v>
      </c>
      <c r="K203" s="454">
        <f t="shared" si="306"/>
        <v>27.9</v>
      </c>
      <c r="L203" s="454"/>
      <c r="M203" s="223">
        <f t="shared" si="307"/>
        <v>0.56989247311827951</v>
      </c>
      <c r="N203" s="178">
        <f t="shared" si="308"/>
        <v>4.6161290322580646</v>
      </c>
      <c r="O203" s="178">
        <f t="shared" si="339"/>
        <v>4.5930283184263638</v>
      </c>
      <c r="P203" s="223">
        <f t="shared" si="309"/>
        <v>0.9232258064516129</v>
      </c>
      <c r="Q203" s="223">
        <f t="shared" si="310"/>
        <v>4.9635796045785634</v>
      </c>
      <c r="R203" s="223"/>
      <c r="S203" s="178">
        <f t="shared" si="311"/>
        <v>4.9387401273401759</v>
      </c>
      <c r="T203" s="554">
        <f t="shared" si="312"/>
        <v>4.9387401273401759</v>
      </c>
      <c r="U203" s="223">
        <f t="shared" si="313"/>
        <v>1.5</v>
      </c>
      <c r="V203" s="223">
        <f t="shared" si="314"/>
        <v>3.75</v>
      </c>
      <c r="W203" s="223">
        <f t="shared" si="315"/>
        <v>2.863283849816737</v>
      </c>
      <c r="X203" s="203">
        <f t="shared" si="316"/>
        <v>350</v>
      </c>
      <c r="Y203" s="454">
        <f t="shared" si="283"/>
        <v>151.21080883708197</v>
      </c>
      <c r="AA203" s="223">
        <f t="shared" si="317"/>
        <v>0.64804632358749414</v>
      </c>
      <c r="AB203" s="179">
        <f t="shared" si="318"/>
        <v>1.2370270481741221</v>
      </c>
      <c r="AC203" s="179">
        <f t="shared" si="319"/>
        <v>0.42086668614245315</v>
      </c>
      <c r="AD203" s="179"/>
      <c r="AE203" s="179">
        <f t="shared" si="320"/>
        <v>0.57265676996334736</v>
      </c>
      <c r="AF203" s="563">
        <f t="shared" si="321"/>
        <v>3608.9098655010102</v>
      </c>
      <c r="AG203" s="546">
        <f t="shared" si="322"/>
        <v>9.0193441269227195E-2</v>
      </c>
      <c r="AI203" s="179">
        <f t="shared" si="323"/>
        <v>0.96333036596277499</v>
      </c>
      <c r="AJ203" s="179">
        <f t="shared" si="324"/>
        <v>1.5</v>
      </c>
      <c r="AK203" s="179">
        <f t="shared" si="325"/>
        <v>2.0888888888888886</v>
      </c>
      <c r="AM203" s="563">
        <f t="shared" si="326"/>
        <v>930</v>
      </c>
      <c r="AN203" s="472">
        <f t="shared" si="327"/>
        <v>151.21080883708197</v>
      </c>
      <c r="AP203" t="str">
        <f t="shared" si="328"/>
        <v/>
      </c>
      <c r="AQ203" t="str">
        <f t="shared" si="329"/>
        <v/>
      </c>
      <c r="AS203" s="6">
        <f t="shared" si="340"/>
        <v>6.6132838498167361</v>
      </c>
      <c r="AT203" s="6">
        <f t="shared" si="330"/>
        <v>3.75</v>
      </c>
      <c r="AU203" s="6">
        <f t="shared" si="284"/>
        <v>2.8632838498167361</v>
      </c>
      <c r="AV203" s="6"/>
      <c r="AW203" s="179">
        <f t="shared" si="285"/>
        <v>0.56704053313905745</v>
      </c>
      <c r="AX203" s="179">
        <f t="shared" si="336"/>
        <v>5.1033647982515173</v>
      </c>
      <c r="AY203" s="179">
        <f t="shared" si="337"/>
        <v>0.97415880043712078</v>
      </c>
      <c r="AZ203" s="179">
        <f t="shared" si="341"/>
        <v>5.2387401273401784</v>
      </c>
      <c r="BA203" s="472">
        <f t="shared" si="334"/>
        <v>69.75</v>
      </c>
      <c r="BB203" s="6">
        <f t="shared" si="335"/>
        <v>1.0273356405592455</v>
      </c>
      <c r="BD203" s="179">
        <f t="shared" si="342"/>
        <v>0.65213526193136728</v>
      </c>
      <c r="BE203" s="179">
        <f t="shared" si="338"/>
        <v>1.7095251976239958</v>
      </c>
      <c r="BG203" s="546">
        <f t="shared" si="286"/>
        <v>0.14884813994900253</v>
      </c>
      <c r="BH203" s="546">
        <f t="shared" si="287"/>
        <v>4.7461292623739097E-2</v>
      </c>
      <c r="BI203" s="546">
        <f t="shared" si="288"/>
        <v>1.8901351104635246E-3</v>
      </c>
      <c r="BJ203" s="546">
        <f t="shared" si="289"/>
        <v>5.885200285343649E-3</v>
      </c>
      <c r="BK203">
        <f t="shared" si="290"/>
        <v>3.48E-3</v>
      </c>
      <c r="BM203" s="472">
        <f t="shared" si="291"/>
        <v>207.56476796854881</v>
      </c>
      <c r="BN203" s="546">
        <f t="shared" si="292"/>
        <v>0.37200000000000005</v>
      </c>
      <c r="BQ203" s="472">
        <f t="shared" si="293"/>
        <v>372.00000000000006</v>
      </c>
      <c r="BR203" s="546">
        <f t="shared" si="294"/>
        <v>8.5056079970858608E-2</v>
      </c>
      <c r="BS203" s="546">
        <f t="shared" si="295"/>
        <v>0.11689905605245449</v>
      </c>
      <c r="BT203" s="546">
        <f t="shared" si="296"/>
        <v>3.8739609900843568E-2</v>
      </c>
      <c r="BU203" s="546"/>
      <c r="BV203" s="546">
        <f t="shared" si="297"/>
        <v>3.4022431988343448E-2</v>
      </c>
      <c r="BW203" s="472">
        <f t="shared" si="298"/>
        <v>274.71717791250012</v>
      </c>
      <c r="BX203" s="179">
        <f t="shared" si="299"/>
        <v>0.85428194588104889</v>
      </c>
      <c r="BY203" s="6">
        <f t="shared" si="300"/>
        <v>4.5930283184263638</v>
      </c>
      <c r="BZ203" s="179">
        <f t="shared" si="301"/>
        <v>0.84317362066218471</v>
      </c>
      <c r="CA203" s="6">
        <f t="shared" si="302"/>
        <v>84.317362066218465</v>
      </c>
      <c r="CD203" s="581">
        <f t="shared" si="331"/>
        <v>-50</v>
      </c>
      <c r="CE203">
        <f t="shared" si="332"/>
        <v>-50</v>
      </c>
    </row>
    <row r="204" spans="5:83" x14ac:dyDescent="0.2">
      <c r="E204" s="176">
        <v>94</v>
      </c>
      <c r="F204" s="223">
        <f t="shared" si="333"/>
        <v>0.94</v>
      </c>
      <c r="G204" s="223"/>
      <c r="H204" s="223">
        <f t="shared" si="303"/>
        <v>4.6999999999999993</v>
      </c>
      <c r="I204" s="559">
        <f t="shared" si="304"/>
        <v>12</v>
      </c>
      <c r="J204" s="454">
        <f t="shared" si="305"/>
        <v>15.450088932316575</v>
      </c>
      <c r="K204" s="454">
        <f t="shared" si="306"/>
        <v>27.9</v>
      </c>
      <c r="L204" s="454"/>
      <c r="M204" s="223">
        <f t="shared" si="307"/>
        <v>0.56989247311827951</v>
      </c>
      <c r="N204" s="178">
        <f t="shared" si="308"/>
        <v>4.6161290322580646</v>
      </c>
      <c r="O204" s="178">
        <f t="shared" si="339"/>
        <v>4.5590278654591936</v>
      </c>
      <c r="P204" s="223">
        <f t="shared" si="309"/>
        <v>0.9232258064516129</v>
      </c>
      <c r="Q204" s="223">
        <f t="shared" si="310"/>
        <v>4.9107755662319841</v>
      </c>
      <c r="R204" s="223"/>
      <c r="S204" s="178">
        <f t="shared" si="311"/>
        <v>4.8500296441055255</v>
      </c>
      <c r="T204" s="554">
        <f t="shared" si="312"/>
        <v>4.8500296441055255</v>
      </c>
      <c r="U204" s="223">
        <f t="shared" si="313"/>
        <v>1.5</v>
      </c>
      <c r="V204" s="223">
        <f t="shared" si="314"/>
        <v>3.75</v>
      </c>
      <c r="W204" s="223">
        <f t="shared" si="315"/>
        <v>2.912604593872246</v>
      </c>
      <c r="X204" s="203">
        <f t="shared" si="316"/>
        <v>350</v>
      </c>
      <c r="Y204" s="454">
        <f t="shared" si="283"/>
        <v>150.0914523607965</v>
      </c>
      <c r="AA204" s="223">
        <f t="shared" si="317"/>
        <v>0.6432490815462707</v>
      </c>
      <c r="AB204" s="179">
        <f t="shared" si="318"/>
        <v>1.2490201532771807</v>
      </c>
      <c r="AC204" s="179">
        <f t="shared" si="319"/>
        <v>0.42180130987487258</v>
      </c>
      <c r="AD204" s="179"/>
      <c r="AE204" s="179">
        <f t="shared" si="320"/>
        <v>0.58252091877444923</v>
      </c>
      <c r="AF204" s="563">
        <f t="shared" si="321"/>
        <v>3585.9465670068098</v>
      </c>
      <c r="AG204" s="546">
        <f t="shared" si="322"/>
        <v>9.1747044706975756E-2</v>
      </c>
      <c r="AI204" s="179">
        <f t="shared" si="323"/>
        <v>0.96026066554959499</v>
      </c>
      <c r="AJ204" s="179">
        <f t="shared" si="324"/>
        <v>1.5</v>
      </c>
      <c r="AK204" s="179">
        <f t="shared" si="325"/>
        <v>2.0888888888888886</v>
      </c>
      <c r="AM204" s="563">
        <f t="shared" si="326"/>
        <v>940</v>
      </c>
      <c r="AN204" s="472">
        <f t="shared" si="327"/>
        <v>150.0914523607965</v>
      </c>
      <c r="AP204" t="str">
        <f t="shared" si="328"/>
        <v/>
      </c>
      <c r="AQ204" t="str">
        <f t="shared" si="329"/>
        <v/>
      </c>
      <c r="AS204" s="6">
        <f t="shared" si="340"/>
        <v>6.6626045938722456</v>
      </c>
      <c r="AT204" s="6">
        <f t="shared" si="330"/>
        <v>3.75</v>
      </c>
      <c r="AU204" s="6">
        <f t="shared" si="284"/>
        <v>2.9126045938722456</v>
      </c>
      <c r="AV204" s="6"/>
      <c r="AW204" s="179">
        <f t="shared" si="285"/>
        <v>0.56284294635298682</v>
      </c>
      <c r="AX204" s="179">
        <f t="shared" si="336"/>
        <v>5.0655865171768815</v>
      </c>
      <c r="AY204" s="179">
        <f t="shared" si="337"/>
        <v>0.98360337070577963</v>
      </c>
      <c r="AZ204" s="179">
        <f t="shared" si="341"/>
        <v>5.1500296441055253</v>
      </c>
      <c r="BA204" s="472">
        <f t="shared" si="334"/>
        <v>70.5</v>
      </c>
      <c r="BB204" s="6">
        <f t="shared" si="335"/>
        <v>1.0562686412962614</v>
      </c>
      <c r="BD204" s="179">
        <f t="shared" si="342"/>
        <v>0.64971702283743504</v>
      </c>
      <c r="BE204" s="179">
        <f t="shared" si="338"/>
        <v>1.7177922202982931</v>
      </c>
      <c r="BG204" s="546">
        <f t="shared" si="286"/>
        <v>0.14774627341765903</v>
      </c>
      <c r="BH204" s="546">
        <f t="shared" si="287"/>
        <v>4.7109954609744993E-2</v>
      </c>
      <c r="BI204" s="546">
        <f t="shared" si="288"/>
        <v>1.8761431545099561E-3</v>
      </c>
      <c r="BJ204" s="546">
        <f t="shared" si="289"/>
        <v>5.8416343716083804E-3</v>
      </c>
      <c r="BK204">
        <f t="shared" si="290"/>
        <v>3.48E-3</v>
      </c>
      <c r="BM204" s="472">
        <f t="shared" si="291"/>
        <v>206.05400555352236</v>
      </c>
      <c r="BN204" s="546">
        <f t="shared" si="292"/>
        <v>0.376</v>
      </c>
      <c r="BQ204" s="472">
        <f t="shared" si="293"/>
        <v>376</v>
      </c>
      <c r="BR204" s="546">
        <f t="shared" si="294"/>
        <v>8.4426441952948017E-2</v>
      </c>
      <c r="BS204" s="546">
        <f t="shared" si="295"/>
        <v>0.11803240448469358</v>
      </c>
      <c r="BT204" s="546">
        <f t="shared" si="296"/>
        <v>3.8026648662500565E-2</v>
      </c>
      <c r="BU204" s="546"/>
      <c r="BV204" s="546">
        <f t="shared" si="297"/>
        <v>3.3770576781179208E-2</v>
      </c>
      <c r="BW204" s="472">
        <f t="shared" si="298"/>
        <v>274.25607188132142</v>
      </c>
      <c r="BX204" s="179">
        <f t="shared" si="299"/>
        <v>0.85631007743484377</v>
      </c>
      <c r="BY204" s="6">
        <f t="shared" si="300"/>
        <v>4.5590278654591936</v>
      </c>
      <c r="BZ204" s="179">
        <f t="shared" si="301"/>
        <v>0.84187319674878514</v>
      </c>
      <c r="CA204" s="6">
        <f t="shared" si="302"/>
        <v>84.187319674878509</v>
      </c>
      <c r="CD204" s="581">
        <f t="shared" si="331"/>
        <v>-50</v>
      </c>
      <c r="CE204">
        <f t="shared" si="332"/>
        <v>-50</v>
      </c>
    </row>
    <row r="205" spans="5:83" x14ac:dyDescent="0.2">
      <c r="E205" s="176">
        <v>95</v>
      </c>
      <c r="F205" s="223">
        <f t="shared" si="333"/>
        <v>0.95</v>
      </c>
      <c r="G205" s="223"/>
      <c r="H205" s="223">
        <f t="shared" si="303"/>
        <v>4.75</v>
      </c>
      <c r="I205" s="559">
        <f t="shared" si="304"/>
        <v>12</v>
      </c>
      <c r="J205" s="454">
        <f t="shared" si="305"/>
        <v>15.189944061765349</v>
      </c>
      <c r="K205" s="454">
        <f t="shared" si="306"/>
        <v>27.9</v>
      </c>
      <c r="L205" s="454"/>
      <c r="M205" s="223">
        <f t="shared" si="307"/>
        <v>0.56989247311827951</v>
      </c>
      <c r="N205" s="178">
        <f t="shared" si="308"/>
        <v>4.6161290322580646</v>
      </c>
      <c r="O205" s="178">
        <f t="shared" si="339"/>
        <v>4.5251489528923603</v>
      </c>
      <c r="P205" s="223">
        <f t="shared" si="309"/>
        <v>0.9232258064516129</v>
      </c>
      <c r="Q205" s="223">
        <f t="shared" si="310"/>
        <v>4.8590831918505941</v>
      </c>
      <c r="R205" s="223"/>
      <c r="S205" s="178">
        <f t="shared" si="311"/>
        <v>4.7633146872551162</v>
      </c>
      <c r="T205" s="554">
        <f t="shared" si="312"/>
        <v>4.7633146872551162</v>
      </c>
      <c r="U205" s="223">
        <f t="shared" si="313"/>
        <v>1.5</v>
      </c>
      <c r="V205" s="223">
        <f t="shared" si="314"/>
        <v>3.75</v>
      </c>
      <c r="W205" s="223">
        <f t="shared" si="315"/>
        <v>2.9624862222679038</v>
      </c>
      <c r="X205" s="203">
        <f t="shared" si="316"/>
        <v>350</v>
      </c>
      <c r="Y205" s="454">
        <f t="shared" si="283"/>
        <v>148.97609721456331</v>
      </c>
      <c r="AA205" s="223">
        <f t="shared" si="317"/>
        <v>0.63846898806241426</v>
      </c>
      <c r="AB205" s="179">
        <f t="shared" si="318"/>
        <v>1.2609703869868218</v>
      </c>
      <c r="AC205" s="179">
        <f t="shared" si="319"/>
        <v>0.42267250565197712</v>
      </c>
      <c r="AD205" s="179"/>
      <c r="AE205" s="179">
        <f t="shared" si="320"/>
        <v>0.59249724445358065</v>
      </c>
      <c r="AF205" s="563">
        <f t="shared" si="321"/>
        <v>3563.0732984387851</v>
      </c>
      <c r="AG205" s="546">
        <f t="shared" si="322"/>
        <v>9.3318316001438958E-2</v>
      </c>
      <c r="AI205" s="179">
        <f t="shared" si="323"/>
        <v>0.95719321360421961</v>
      </c>
      <c r="AJ205" s="179">
        <f t="shared" si="324"/>
        <v>1.5</v>
      </c>
      <c r="AK205" s="179">
        <f t="shared" si="325"/>
        <v>2.0888888888888886</v>
      </c>
      <c r="AM205" s="563">
        <f t="shared" si="326"/>
        <v>950</v>
      </c>
      <c r="AN205" s="472">
        <f t="shared" si="327"/>
        <v>148.97609721456331</v>
      </c>
      <c r="AP205" t="str">
        <f t="shared" si="328"/>
        <v/>
      </c>
      <c r="AQ205" t="str">
        <f t="shared" si="329"/>
        <v/>
      </c>
      <c r="AS205" s="6">
        <f t="shared" si="340"/>
        <v>6.7124862222679029</v>
      </c>
      <c r="AT205" s="6">
        <f t="shared" si="330"/>
        <v>3.75</v>
      </c>
      <c r="AU205" s="6">
        <f t="shared" si="284"/>
        <v>2.9624862222679029</v>
      </c>
      <c r="AV205" s="6"/>
      <c r="AW205" s="179">
        <f t="shared" si="285"/>
        <v>0.55866036455461243</v>
      </c>
      <c r="AX205" s="179">
        <f t="shared" si="336"/>
        <v>5.0279432809915123</v>
      </c>
      <c r="AY205" s="179">
        <f t="shared" si="337"/>
        <v>0.99301417975212203</v>
      </c>
      <c r="AZ205" s="179">
        <f t="shared" si="341"/>
        <v>5.0633146872551169</v>
      </c>
      <c r="BA205" s="472">
        <f t="shared" si="334"/>
        <v>71.25</v>
      </c>
      <c r="BB205" s="6">
        <f t="shared" si="335"/>
        <v>1.0857877743651649</v>
      </c>
      <c r="BD205" s="179">
        <f t="shared" si="342"/>
        <v>0.64729844230923284</v>
      </c>
      <c r="BE205" s="179">
        <f t="shared" si="338"/>
        <v>1.7259903068257267</v>
      </c>
      <c r="BG205" s="546">
        <f t="shared" si="286"/>
        <v>0.14664834569558571</v>
      </c>
      <c r="BH205" s="546">
        <f t="shared" si="287"/>
        <v>4.6759872513221043E-2</v>
      </c>
      <c r="BI205" s="546">
        <f t="shared" si="288"/>
        <v>1.8622012151820414E-3</v>
      </c>
      <c r="BJ205" s="546">
        <f t="shared" si="289"/>
        <v>5.7982241916394112E-3</v>
      </c>
      <c r="BK205">
        <f t="shared" si="290"/>
        <v>3.48E-3</v>
      </c>
      <c r="BM205" s="472">
        <f t="shared" si="291"/>
        <v>204.54864361562824</v>
      </c>
      <c r="BN205" s="546">
        <f t="shared" si="292"/>
        <v>0.38</v>
      </c>
      <c r="BQ205" s="472">
        <f t="shared" si="293"/>
        <v>380</v>
      </c>
      <c r="BR205" s="546">
        <f t="shared" si="294"/>
        <v>8.3799054683191848E-2</v>
      </c>
      <c r="BS205" s="546">
        <f t="shared" si="295"/>
        <v>0.11916170157025466</v>
      </c>
      <c r="BT205" s="546">
        <f t="shared" si="296"/>
        <v>3.7324124871645159E-2</v>
      </c>
      <c r="BU205" s="546"/>
      <c r="BV205" s="546">
        <f t="shared" si="297"/>
        <v>3.3519621873276749E-2</v>
      </c>
      <c r="BW205" s="472">
        <f t="shared" si="298"/>
        <v>273.80450299836838</v>
      </c>
      <c r="BX205" s="179">
        <f t="shared" si="299"/>
        <v>0.85835314661399653</v>
      </c>
      <c r="BY205" s="6">
        <f t="shared" si="300"/>
        <v>4.5251489528923603</v>
      </c>
      <c r="BZ205" s="179">
        <f t="shared" si="301"/>
        <v>0.84055859350501527</v>
      </c>
      <c r="CA205" s="6">
        <f t="shared" si="302"/>
        <v>84.055859350501521</v>
      </c>
      <c r="CD205" s="581">
        <f t="shared" si="331"/>
        <v>-50</v>
      </c>
      <c r="CE205">
        <f t="shared" si="332"/>
        <v>-50</v>
      </c>
    </row>
    <row r="206" spans="5:83" x14ac:dyDescent="0.2">
      <c r="E206" s="176">
        <v>96</v>
      </c>
      <c r="F206" s="223">
        <f t="shared" si="333"/>
        <v>0.96</v>
      </c>
      <c r="G206" s="223"/>
      <c r="H206" s="223">
        <f t="shared" ref="H206:H210" si="343">F206*Vout</f>
        <v>4.8</v>
      </c>
      <c r="I206" s="559">
        <f t="shared" si="304"/>
        <v>12</v>
      </c>
      <c r="J206" s="454">
        <f t="shared" si="305"/>
        <v>14.9356043196422</v>
      </c>
      <c r="K206" s="454">
        <f t="shared" si="306"/>
        <v>27.9</v>
      </c>
      <c r="L206" s="454"/>
      <c r="M206" s="223">
        <f t="shared" si="307"/>
        <v>0.56989247311827951</v>
      </c>
      <c r="N206" s="178">
        <f t="shared" ref="N206:N210" si="344">M206*I206*Isw_max*0.5*Efficiency</f>
        <v>4.6161290322580646</v>
      </c>
      <c r="O206" s="178">
        <f t="shared" si="339"/>
        <v>4.4913933822855041</v>
      </c>
      <c r="P206" s="223">
        <f t="shared" ref="P206:P210" si="345">N206/Vout</f>
        <v>0.9232258064516129</v>
      </c>
      <c r="Q206" s="223">
        <f t="shared" si="310"/>
        <v>4.808467741935484</v>
      </c>
      <c r="R206" s="223"/>
      <c r="S206" s="178">
        <f t="shared" si="311"/>
        <v>4.678534773214067</v>
      </c>
      <c r="T206" s="554">
        <f t="shared" ref="T206:T210" si="346">MIN(Vout, S206)</f>
        <v>4.678534773214067</v>
      </c>
      <c r="U206" s="223">
        <f t="shared" si="313"/>
        <v>1.5</v>
      </c>
      <c r="V206" s="223">
        <f t="shared" ref="V206:V210" si="347">L*U206/I206*1000000</f>
        <v>3.75</v>
      </c>
      <c r="W206" s="223">
        <f t="shared" si="315"/>
        <v>3.0129346651758402</v>
      </c>
      <c r="X206" s="203">
        <f t="shared" si="316"/>
        <v>350</v>
      </c>
      <c r="Y206" s="454">
        <f t="shared" si="283"/>
        <v>147.86480270898781</v>
      </c>
      <c r="AA206" s="223">
        <f t="shared" si="317"/>
        <v>0.63370629732423345</v>
      </c>
      <c r="AB206" s="179">
        <f t="shared" ref="AB206:AB210" si="348">L*AA206/J206*1000000</f>
        <v>1.2728771138322739</v>
      </c>
      <c r="AC206" s="179">
        <f t="shared" ref="AC206:AC210" si="349">0.5*AB206*AA206*Nps*X206/1000</f>
        <v>0.42348087744658869</v>
      </c>
      <c r="AD206" s="179"/>
      <c r="AE206" s="179">
        <f t="shared" si="320"/>
        <v>0.60258693303516797</v>
      </c>
      <c r="AF206" s="563">
        <f t="shared" ref="AF206:AF210" si="350">MAX(10000,F206/(0.5*AE206/1000000*Isw_min*Nps))/1000</f>
        <v>3540.2913942855589</v>
      </c>
      <c r="AG206" s="546">
        <f t="shared" si="322"/>
        <v>9.4907441953038948E-2</v>
      </c>
      <c r="AI206" s="179">
        <f t="shared" si="323"/>
        <v>0.95412821163869688</v>
      </c>
      <c r="AJ206" s="179">
        <f t="shared" ref="AJ206:AJ210" si="351">MAX(IF(F206&gt;AC206,U206,AI206),Isw_min)</f>
        <v>1.5</v>
      </c>
      <c r="AK206" s="179">
        <f t="shared" ref="AK206:AK210" si="352">IF(F206&gt;AG206, (AJ206-Isw_min)/1.08*0.8+1.2, AF206*0.2/350+1)</f>
        <v>2.0888888888888886</v>
      </c>
      <c r="AM206" s="563">
        <f t="shared" si="326"/>
        <v>960</v>
      </c>
      <c r="AN206" s="472">
        <f t="shared" si="327"/>
        <v>147.86480270898781</v>
      </c>
      <c r="AP206" t="str">
        <f t="shared" si="328"/>
        <v/>
      </c>
      <c r="AQ206" t="str">
        <f t="shared" si="329"/>
        <v/>
      </c>
      <c r="AS206" s="6">
        <f t="shared" si="340"/>
        <v>6.7629346651758384</v>
      </c>
      <c r="AT206" s="6">
        <f t="shared" si="330"/>
        <v>3.75</v>
      </c>
      <c r="AU206" s="6">
        <f t="shared" si="284"/>
        <v>3.0129346651758384</v>
      </c>
      <c r="AV206" s="6"/>
      <c r="AW206" s="179">
        <f t="shared" si="285"/>
        <v>0.55449301015870434</v>
      </c>
      <c r="AX206" s="179">
        <f t="shared" si="336"/>
        <v>4.9904370914283387</v>
      </c>
      <c r="AY206" s="179">
        <f t="shared" si="337"/>
        <v>1.0023907271429153</v>
      </c>
      <c r="AZ206" s="179">
        <f t="shared" si="341"/>
        <v>4.9785347732140677</v>
      </c>
      <c r="BA206" s="472">
        <f t="shared" si="334"/>
        <v>72</v>
      </c>
      <c r="BB206" s="6">
        <f t="shared" si="335"/>
        <v>1.1159017278429029</v>
      </c>
      <c r="BD206" s="179">
        <f t="shared" si="342"/>
        <v>0.64487964584023605</v>
      </c>
      <c r="BE206" s="179">
        <f t="shared" si="338"/>
        <v>1.734120002026603</v>
      </c>
      <c r="BG206" s="546">
        <f t="shared" si="286"/>
        <v>0.1455544151666599</v>
      </c>
      <c r="BH206" s="546">
        <f t="shared" si="287"/>
        <v>4.6411064950283534E-2</v>
      </c>
      <c r="BI206" s="546">
        <f t="shared" si="288"/>
        <v>1.8483100338623475E-3</v>
      </c>
      <c r="BJ206" s="546">
        <f t="shared" si="289"/>
        <v>5.75497205383516E-3</v>
      </c>
      <c r="BK206">
        <f t="shared" si="290"/>
        <v>3.48E-3</v>
      </c>
      <c r="BM206" s="472">
        <f t="shared" si="291"/>
        <v>203.04876220464092</v>
      </c>
      <c r="BN206" s="546">
        <f t="shared" si="292"/>
        <v>0.38400000000000001</v>
      </c>
      <c r="BQ206" s="472">
        <f t="shared" si="293"/>
        <v>384</v>
      </c>
      <c r="BR206" s="546">
        <f t="shared" si="294"/>
        <v>8.3173951523805661E-2</v>
      </c>
      <c r="BS206" s="546">
        <f t="shared" si="295"/>
        <v>0.12028688725714982</v>
      </c>
      <c r="BT206" s="546">
        <f t="shared" si="296"/>
        <v>3.6631961354666148E-2</v>
      </c>
      <c r="BU206" s="546"/>
      <c r="BV206" s="546">
        <f t="shared" si="297"/>
        <v>3.3269580609522259E-2</v>
      </c>
      <c r="BW206" s="472">
        <f t="shared" si="298"/>
        <v>273.36238074514392</v>
      </c>
      <c r="BX206" s="179">
        <f t="shared" si="299"/>
        <v>0.86041114294978494</v>
      </c>
      <c r="BY206" s="6">
        <f t="shared" si="300"/>
        <v>4.4913933822855041</v>
      </c>
      <c r="BZ206" s="179">
        <f t="shared" si="301"/>
        <v>0.83922971422205339</v>
      </c>
      <c r="CA206" s="6">
        <f t="shared" si="302"/>
        <v>83.922971422205336</v>
      </c>
      <c r="CD206" s="581">
        <f t="shared" si="331"/>
        <v>-50</v>
      </c>
      <c r="CE206">
        <f t="shared" si="332"/>
        <v>-50</v>
      </c>
    </row>
    <row r="207" spans="5:83" x14ac:dyDescent="0.2">
      <c r="E207" s="176">
        <v>97</v>
      </c>
      <c r="F207" s="223">
        <f t="shared" ref="F207:F210" si="353">IF(PLOT_TYPE=1, E207/100*Iout_max, min_I*EXP(N207*rr/100))</f>
        <v>0.97</v>
      </c>
      <c r="G207" s="223"/>
      <c r="H207" s="223">
        <f t="shared" si="343"/>
        <v>4.8499999999999996</v>
      </c>
      <c r="I207" s="559">
        <f t="shared" si="304"/>
        <v>12</v>
      </c>
      <c r="J207" s="454">
        <f t="shared" si="305"/>
        <v>14.686895791212592</v>
      </c>
      <c r="K207" s="454">
        <f t="shared" si="306"/>
        <v>27.9</v>
      </c>
      <c r="L207" s="454"/>
      <c r="M207" s="223">
        <f t="shared" si="307"/>
        <v>0.56989247311827951</v>
      </c>
      <c r="N207" s="178">
        <f t="shared" si="344"/>
        <v>4.6161290322580646</v>
      </c>
      <c r="O207" s="178">
        <f t="shared" si="339"/>
        <v>4.4577629724920715</v>
      </c>
      <c r="P207" s="223">
        <f t="shared" si="345"/>
        <v>0.9232258064516129</v>
      </c>
      <c r="Q207" s="223">
        <f t="shared" si="310"/>
        <v>4.758895909544397</v>
      </c>
      <c r="R207" s="223"/>
      <c r="S207" s="178">
        <f t="shared" si="311"/>
        <v>4.5956319304041973</v>
      </c>
      <c r="T207" s="554">
        <f t="shared" si="346"/>
        <v>4.5956319304041973</v>
      </c>
      <c r="U207" s="223">
        <f t="shared" si="313"/>
        <v>1.5</v>
      </c>
      <c r="V207" s="223">
        <f t="shared" si="347"/>
        <v>3.75</v>
      </c>
      <c r="W207" s="223">
        <f t="shared" si="315"/>
        <v>3.0639558310833959</v>
      </c>
      <c r="X207" s="203">
        <f t="shared" si="316"/>
        <v>350</v>
      </c>
      <c r="Y207" s="454">
        <f t="shared" si="283"/>
        <v>146.75762872401879</v>
      </c>
      <c r="AA207" s="223">
        <f t="shared" si="317"/>
        <v>0.62896126596008062</v>
      </c>
      <c r="AB207" s="179">
        <f t="shared" si="348"/>
        <v>1.2847396922426557</v>
      </c>
      <c r="AC207" s="179">
        <f t="shared" si="349"/>
        <v>0.42422703921260513</v>
      </c>
      <c r="AD207" s="179"/>
      <c r="AE207" s="179">
        <f t="shared" si="320"/>
        <v>0.61279116621667906</v>
      </c>
      <c r="AF207" s="563">
        <f t="shared" si="350"/>
        <v>3517.6022018459785</v>
      </c>
      <c r="AG207" s="546">
        <f t="shared" si="322"/>
        <v>9.6514608679126965E-2</v>
      </c>
      <c r="AI207" s="179">
        <f t="shared" si="323"/>
        <v>0.95106586547656102</v>
      </c>
      <c r="AJ207" s="179">
        <f t="shared" si="351"/>
        <v>1.5</v>
      </c>
      <c r="AK207" s="179">
        <f t="shared" si="352"/>
        <v>2.0888888888888886</v>
      </c>
      <c r="AM207" s="563">
        <f t="shared" si="326"/>
        <v>970</v>
      </c>
      <c r="AN207" s="472">
        <f t="shared" si="327"/>
        <v>146.75762872401879</v>
      </c>
      <c r="AP207" t="str">
        <f t="shared" si="328"/>
        <v/>
      </c>
      <c r="AQ207" t="str">
        <f t="shared" si="329"/>
        <v/>
      </c>
      <c r="AS207" s="6">
        <f t="shared" si="340"/>
        <v>6.8139558310833968</v>
      </c>
      <c r="AT207" s="6">
        <f t="shared" si="330"/>
        <v>3.75</v>
      </c>
      <c r="AU207" s="6">
        <f t="shared" si="284"/>
        <v>3.0639558310833968</v>
      </c>
      <c r="AV207" s="6"/>
      <c r="AW207" s="179">
        <f t="shared" si="285"/>
        <v>0.5503411077150705</v>
      </c>
      <c r="AX207" s="179">
        <f t="shared" si="336"/>
        <v>4.9530699694356342</v>
      </c>
      <c r="AY207" s="179">
        <f t="shared" si="337"/>
        <v>1.0117325076410915</v>
      </c>
      <c r="AZ207" s="179">
        <f t="shared" si="341"/>
        <v>4.8956319304041953</v>
      </c>
      <c r="BA207" s="472">
        <f t="shared" si="334"/>
        <v>72.75</v>
      </c>
      <c r="BB207" s="6">
        <f t="shared" si="335"/>
        <v>1.1466192732063636</v>
      </c>
      <c r="BD207" s="179">
        <f t="shared" si="342"/>
        <v>0.6424607620596785</v>
      </c>
      <c r="BE207" s="179">
        <f t="shared" si="338"/>
        <v>1.7421818283185238</v>
      </c>
      <c r="BG207" s="546">
        <f t="shared" si="286"/>
        <v>0.14446454077520599</v>
      </c>
      <c r="BH207" s="546">
        <f t="shared" si="287"/>
        <v>4.6063550715751383E-2</v>
      </c>
      <c r="BI207" s="546">
        <f t="shared" si="288"/>
        <v>1.8344703590502348E-3</v>
      </c>
      <c r="BJ207" s="546">
        <f t="shared" si="289"/>
        <v>5.7118802887531732E-3</v>
      </c>
      <c r="BK207">
        <f t="shared" si="290"/>
        <v>3.48E-3</v>
      </c>
      <c r="BM207" s="472">
        <f t="shared" si="291"/>
        <v>201.55444213876078</v>
      </c>
      <c r="BN207" s="546">
        <f t="shared" si="292"/>
        <v>0.38800000000000001</v>
      </c>
      <c r="BQ207" s="472">
        <f t="shared" si="293"/>
        <v>388</v>
      </c>
      <c r="BR207" s="546">
        <f t="shared" si="294"/>
        <v>8.2551166157260575E-2</v>
      </c>
      <c r="BS207" s="546">
        <f t="shared" si="295"/>
        <v>0.12140790091693097</v>
      </c>
      <c r="BT207" s="546">
        <f t="shared" si="296"/>
        <v>3.5950080462904467E-2</v>
      </c>
      <c r="BU207" s="546"/>
      <c r="BV207" s="546">
        <f t="shared" si="297"/>
        <v>3.3020466462904234E-2</v>
      </c>
      <c r="BW207" s="472">
        <f t="shared" si="298"/>
        <v>272.92961400000019</v>
      </c>
      <c r="BX207" s="179">
        <f t="shared" si="299"/>
        <v>0.86248405613876111</v>
      </c>
      <c r="BY207" s="6">
        <f t="shared" si="300"/>
        <v>4.4577629724920715</v>
      </c>
      <c r="BZ207" s="179">
        <f t="shared" si="301"/>
        <v>0.83788646438834213</v>
      </c>
      <c r="CA207" s="6">
        <f t="shared" si="302"/>
        <v>83.788646438834206</v>
      </c>
      <c r="CD207" s="581">
        <f t="shared" si="331"/>
        <v>-50</v>
      </c>
      <c r="CE207">
        <f t="shared" si="332"/>
        <v>-50</v>
      </c>
    </row>
    <row r="208" spans="5:83" x14ac:dyDescent="0.2">
      <c r="E208" s="176">
        <v>98</v>
      </c>
      <c r="F208" s="223">
        <f t="shared" si="353"/>
        <v>0.98</v>
      </c>
      <c r="G208" s="223"/>
      <c r="H208" s="223">
        <f t="shared" si="343"/>
        <v>4.9000000000000004</v>
      </c>
      <c r="I208" s="559">
        <f t="shared" si="304"/>
        <v>12</v>
      </c>
      <c r="J208" s="454">
        <f t="shared" si="305"/>
        <v>14.443651711761859</v>
      </c>
      <c r="K208" s="454">
        <f t="shared" si="306"/>
        <v>27.9</v>
      </c>
      <c r="L208" s="454"/>
      <c r="M208" s="223">
        <f t="shared" si="307"/>
        <v>0.56989247311827951</v>
      </c>
      <c r="N208" s="178">
        <f t="shared" si="344"/>
        <v>4.6161290322580646</v>
      </c>
      <c r="O208" s="178">
        <f t="shared" si="339"/>
        <v>4.4242595591755407</v>
      </c>
      <c r="P208" s="223">
        <f t="shared" si="345"/>
        <v>0.9232258064516129</v>
      </c>
      <c r="Q208" s="223">
        <f t="shared" si="310"/>
        <v>4.710335747202107</v>
      </c>
      <c r="R208" s="223"/>
      <c r="S208" s="178">
        <f t="shared" si="311"/>
        <v>4.5145505705872866</v>
      </c>
      <c r="T208" s="554">
        <f t="shared" si="346"/>
        <v>4.5145505705872866</v>
      </c>
      <c r="U208" s="223">
        <f t="shared" si="313"/>
        <v>1.5</v>
      </c>
      <c r="V208" s="223">
        <f t="shared" si="347"/>
        <v>3.75</v>
      </c>
      <c r="W208" s="223">
        <f t="shared" si="315"/>
        <v>3.1155556017288397</v>
      </c>
      <c r="X208" s="203">
        <f t="shared" si="316"/>
        <v>350</v>
      </c>
      <c r="Y208" s="454">
        <f t="shared" si="283"/>
        <v>145.65463569302193</v>
      </c>
      <c r="AA208" s="223">
        <f t="shared" si="317"/>
        <v>0.62423415297009399</v>
      </c>
      <c r="AB208" s="179">
        <f t="shared" si="348"/>
        <v>1.2965574747176223</v>
      </c>
      <c r="AC208" s="179">
        <f t="shared" si="349"/>
        <v>0.42491161492888441</v>
      </c>
      <c r="AD208" s="179"/>
      <c r="AE208" s="179">
        <f t="shared" si="320"/>
        <v>0.62311112034576788</v>
      </c>
      <c r="AF208" s="563">
        <f t="shared" si="350"/>
        <v>3495.0070808707715</v>
      </c>
      <c r="AG208" s="546">
        <f t="shared" si="322"/>
        <v>9.814000145445842E-2</v>
      </c>
      <c r="AI208" s="179">
        <f t="shared" si="323"/>
        <v>0.94800638526838343</v>
      </c>
      <c r="AJ208" s="179">
        <f t="shared" si="351"/>
        <v>1.5</v>
      </c>
      <c r="AK208" s="179">
        <f t="shared" si="352"/>
        <v>2.0888888888888886</v>
      </c>
      <c r="AM208" s="563">
        <f t="shared" si="326"/>
        <v>980</v>
      </c>
      <c r="AN208" s="472">
        <f t="shared" si="327"/>
        <v>145.65463569302193</v>
      </c>
      <c r="AP208" t="str">
        <f t="shared" si="328"/>
        <v/>
      </c>
      <c r="AQ208" t="str">
        <f t="shared" si="329"/>
        <v/>
      </c>
      <c r="AS208" s="6">
        <f t="shared" si="340"/>
        <v>6.8655556017288388</v>
      </c>
      <c r="AT208" s="6">
        <f t="shared" si="330"/>
        <v>3.75</v>
      </c>
      <c r="AU208" s="6">
        <f t="shared" si="284"/>
        <v>3.1155556017288388</v>
      </c>
      <c r="AV208" s="6"/>
      <c r="AW208" s="179">
        <f t="shared" si="285"/>
        <v>0.54620488384883226</v>
      </c>
      <c r="AX208" s="179">
        <f t="shared" si="336"/>
        <v>4.9158439546394908</v>
      </c>
      <c r="AY208" s="179">
        <f t="shared" si="337"/>
        <v>1.0210390113401275</v>
      </c>
      <c r="AZ208" s="179">
        <f t="shared" si="341"/>
        <v>4.8145505705872873</v>
      </c>
      <c r="BA208" s="472">
        <f t="shared" si="334"/>
        <v>73.5</v>
      </c>
      <c r="BB208" s="6">
        <f t="shared" si="335"/>
        <v>1.1779492629993293</v>
      </c>
      <c r="BD208" s="179">
        <f t="shared" si="342"/>
        <v>0.64004192275711458</v>
      </c>
      <c r="BE208" s="179">
        <f t="shared" si="338"/>
        <v>1.7501762865552666</v>
      </c>
      <c r="BG208" s="546">
        <f t="shared" si="286"/>
        <v>0.14337878201031848</v>
      </c>
      <c r="BH208" s="546">
        <f t="shared" si="287"/>
        <v>4.5717348778147253E-2</v>
      </c>
      <c r="BI208" s="546">
        <f t="shared" si="288"/>
        <v>1.8206829461627741E-3</v>
      </c>
      <c r="BJ208" s="546">
        <f t="shared" si="289"/>
        <v>5.6689512484902607E-3</v>
      </c>
      <c r="BK208">
        <f t="shared" si="290"/>
        <v>3.48E-3</v>
      </c>
      <c r="BM208" s="472">
        <f t="shared" si="291"/>
        <v>200.06576498311878</v>
      </c>
      <c r="BN208" s="546">
        <f t="shared" si="292"/>
        <v>0.39200000000000002</v>
      </c>
      <c r="BQ208" s="472">
        <f t="shared" si="293"/>
        <v>392</v>
      </c>
      <c r="BR208" s="546">
        <f t="shared" si="294"/>
        <v>8.1930732577324861E-2</v>
      </c>
      <c r="BS208" s="546">
        <f t="shared" si="295"/>
        <v>0.1225246813608153</v>
      </c>
      <c r="BT208" s="546">
        <f t="shared" si="296"/>
        <v>3.5278404071068102E-2</v>
      </c>
      <c r="BU208" s="546"/>
      <c r="BV208" s="546">
        <f t="shared" si="297"/>
        <v>3.2772293030929933E-2</v>
      </c>
      <c r="BW208" s="472">
        <f t="shared" si="298"/>
        <v>272.50611104013819</v>
      </c>
      <c r="BX208" s="179">
        <f t="shared" si="299"/>
        <v>0.86457187602325702</v>
      </c>
      <c r="BY208" s="6">
        <f t="shared" si="300"/>
        <v>4.4242595591755407</v>
      </c>
      <c r="BZ208" s="179">
        <f t="shared" si="301"/>
        <v>0.83652875183934472</v>
      </c>
      <c r="CA208" s="6">
        <f t="shared" si="302"/>
        <v>83.652875183934469</v>
      </c>
      <c r="CD208" s="581">
        <f t="shared" si="331"/>
        <v>-50</v>
      </c>
      <c r="CE208">
        <f t="shared" si="332"/>
        <v>-50</v>
      </c>
    </row>
    <row r="209" spans="5:85" x14ac:dyDescent="0.2">
      <c r="E209" s="176">
        <v>99</v>
      </c>
      <c r="F209" s="223">
        <f t="shared" si="353"/>
        <v>0.99</v>
      </c>
      <c r="G209" s="223"/>
      <c r="H209" s="223">
        <f t="shared" si="343"/>
        <v>4.95</v>
      </c>
      <c r="I209" s="559">
        <f t="shared" si="304"/>
        <v>12</v>
      </c>
      <c r="J209" s="454">
        <f t="shared" si="305"/>
        <v>14.205712103893983</v>
      </c>
      <c r="K209" s="454">
        <f t="shared" si="306"/>
        <v>27.9</v>
      </c>
      <c r="L209" s="454"/>
      <c r="M209" s="223">
        <f t="shared" si="307"/>
        <v>0.56989247311827951</v>
      </c>
      <c r="N209" s="178">
        <f t="shared" si="344"/>
        <v>4.6161290322580646</v>
      </c>
      <c r="O209" s="178">
        <f t="shared" si="339"/>
        <v>4.390884994285015</v>
      </c>
      <c r="P209" s="223">
        <f t="shared" si="345"/>
        <v>0.9232258064516129</v>
      </c>
      <c r="Q209" s="223">
        <f t="shared" si="310"/>
        <v>4.6627565982404695</v>
      </c>
      <c r="R209" s="223"/>
      <c r="S209" s="178">
        <f t="shared" si="311"/>
        <v>4.4352373679646613</v>
      </c>
      <c r="T209" s="554">
        <f t="shared" si="346"/>
        <v>4.4352373679646613</v>
      </c>
      <c r="U209" s="223">
        <f t="shared" si="313"/>
        <v>1.5</v>
      </c>
      <c r="V209" s="223">
        <f t="shared" si="347"/>
        <v>3.75</v>
      </c>
      <c r="W209" s="223">
        <f t="shared" si="315"/>
        <v>3.1677398268309886</v>
      </c>
      <c r="X209" s="203">
        <f t="shared" si="316"/>
        <v>350</v>
      </c>
      <c r="Y209" s="454">
        <f t="shared" si="283"/>
        <v>144.55588458551486</v>
      </c>
      <c r="AA209" s="223">
        <f t="shared" si="317"/>
        <v>0.61952521965220653</v>
      </c>
      <c r="AB209" s="179">
        <f t="shared" si="348"/>
        <v>1.3083298080123407</v>
      </c>
      <c r="AC209" s="179">
        <f t="shared" si="349"/>
        <v>0.42553523863534659</v>
      </c>
      <c r="AD209" s="179"/>
      <c r="AE209" s="179">
        <f t="shared" si="320"/>
        <v>0.63354796536619762</v>
      </c>
      <c r="AF209" s="563">
        <f t="shared" si="350"/>
        <v>3472.5074031740846</v>
      </c>
      <c r="AG209" s="546">
        <f t="shared" si="322"/>
        <v>9.978380454517613E-2</v>
      </c>
      <c r="AI209" s="179">
        <f t="shared" si="323"/>
        <v>0.94494998550288756</v>
      </c>
      <c r="AJ209" s="179">
        <f t="shared" si="351"/>
        <v>1.5</v>
      </c>
      <c r="AK209" s="179">
        <f t="shared" si="352"/>
        <v>2.0888888888888886</v>
      </c>
      <c r="AM209" s="563">
        <f t="shared" si="326"/>
        <v>990</v>
      </c>
      <c r="AN209" s="472">
        <f t="shared" si="327"/>
        <v>144.55588458551486</v>
      </c>
      <c r="AP209" t="str">
        <f t="shared" si="328"/>
        <v/>
      </c>
      <c r="AQ209" t="str">
        <f t="shared" si="329"/>
        <v/>
      </c>
      <c r="AS209" s="6">
        <f t="shared" si="340"/>
        <v>6.9177398268309895</v>
      </c>
      <c r="AT209" s="6">
        <f t="shared" si="330"/>
        <v>3.75</v>
      </c>
      <c r="AU209" s="6">
        <f t="shared" si="284"/>
        <v>3.1677398268309895</v>
      </c>
      <c r="AV209" s="6"/>
      <c r="AW209" s="179">
        <f t="shared" si="285"/>
        <v>0.54208456719568066</v>
      </c>
      <c r="AX209" s="179">
        <f t="shared" si="336"/>
        <v>4.8787611047611268</v>
      </c>
      <c r="AY209" s="179">
        <f t="shared" si="337"/>
        <v>1.0303097238097185</v>
      </c>
      <c r="AZ209" s="179">
        <f t="shared" si="341"/>
        <v>4.7352373679646593</v>
      </c>
      <c r="BA209" s="472">
        <f t="shared" si="334"/>
        <v>74.25</v>
      </c>
      <c r="BB209" s="6">
        <f t="shared" si="335"/>
        <v>1.2099006283035028</v>
      </c>
      <c r="BD209" s="179">
        <f t="shared" si="342"/>
        <v>0.63762326290432703</v>
      </c>
      <c r="BE209" s="179">
        <f t="shared" si="338"/>
        <v>1.7581038568381435</v>
      </c>
      <c r="BG209" s="546">
        <f t="shared" si="286"/>
        <v>0.14229719888886619</v>
      </c>
      <c r="BH209" s="546">
        <f t="shared" si="287"/>
        <v>4.5372478274278469E-2</v>
      </c>
      <c r="BI209" s="546">
        <f t="shared" si="288"/>
        <v>1.8069485573189356E-3</v>
      </c>
      <c r="BJ209" s="546">
        <f t="shared" si="289"/>
        <v>5.6261873060105307E-3</v>
      </c>
      <c r="BK209">
        <f t="shared" si="290"/>
        <v>3.48E-3</v>
      </c>
      <c r="BM209" s="472">
        <f t="shared" si="291"/>
        <v>198.58281302647413</v>
      </c>
      <c r="BN209" s="546">
        <f t="shared" si="292"/>
        <v>0.39600000000000002</v>
      </c>
      <c r="BQ209" s="472">
        <f t="shared" si="293"/>
        <v>396</v>
      </c>
      <c r="BR209" s="546">
        <f t="shared" si="294"/>
        <v>8.1312685079352118E-2</v>
      </c>
      <c r="BS209" s="546">
        <f t="shared" si="295"/>
        <v>0.12363716685716622</v>
      </c>
      <c r="BT209" s="546">
        <f t="shared" si="296"/>
        <v>3.4616853575937225E-2</v>
      </c>
      <c r="BU209" s="546"/>
      <c r="BV209" s="546">
        <f t="shared" si="297"/>
        <v>3.2525074031740847E-2</v>
      </c>
      <c r="BW209" s="472">
        <f t="shared" si="298"/>
        <v>272.09177954419641</v>
      </c>
      <c r="BX209" s="179">
        <f t="shared" si="299"/>
        <v>0.86667459257067048</v>
      </c>
      <c r="BY209" s="6">
        <f t="shared" si="300"/>
        <v>4.390884994285015</v>
      </c>
      <c r="BZ209" s="179">
        <f t="shared" si="301"/>
        <v>0.83515648691126099</v>
      </c>
      <c r="CA209" s="6">
        <f t="shared" si="302"/>
        <v>83.515648691126103</v>
      </c>
      <c r="CD209" s="581">
        <f t="shared" si="331"/>
        <v>-50</v>
      </c>
      <c r="CE209">
        <f t="shared" si="332"/>
        <v>-50</v>
      </c>
    </row>
    <row r="210" spans="5:85" x14ac:dyDescent="0.2">
      <c r="E210" s="176">
        <v>100</v>
      </c>
      <c r="F210" s="223">
        <f t="shared" si="353"/>
        <v>1</v>
      </c>
      <c r="G210" s="223"/>
      <c r="H210" s="223">
        <f t="shared" si="343"/>
        <v>5</v>
      </c>
      <c r="I210" s="559">
        <f t="shared" si="304"/>
        <v>12</v>
      </c>
      <c r="J210" s="454">
        <f t="shared" si="305"/>
        <v>13.972923436466703</v>
      </c>
      <c r="K210" s="454">
        <f t="shared" si="306"/>
        <v>27.9</v>
      </c>
      <c r="L210" s="454"/>
      <c r="M210" s="223">
        <f t="shared" si="307"/>
        <v>0.56989247311827951</v>
      </c>
      <c r="N210" s="178">
        <f t="shared" si="344"/>
        <v>4.6161290322580646</v>
      </c>
      <c r="O210" s="178">
        <f t="shared" si="339"/>
        <v>4.357641145488901</v>
      </c>
      <c r="P210" s="223">
        <f t="shared" si="345"/>
        <v>0.9232258064516129</v>
      </c>
      <c r="Q210" s="223">
        <f t="shared" si="310"/>
        <v>4.6161290322580646</v>
      </c>
      <c r="R210" s="223"/>
      <c r="S210" s="178">
        <f t="shared" si="311"/>
        <v>4.357641145488901</v>
      </c>
      <c r="T210" s="554">
        <f t="shared" si="346"/>
        <v>4.357641145488901</v>
      </c>
      <c r="U210" s="223">
        <f t="shared" si="313"/>
        <v>1.5</v>
      </c>
      <c r="V210" s="223">
        <f t="shared" si="347"/>
        <v>3.75</v>
      </c>
      <c r="W210" s="223">
        <f t="shared" si="315"/>
        <v>3.2205143186112699</v>
      </c>
      <c r="X210" s="203">
        <f t="shared" si="316"/>
        <v>350</v>
      </c>
      <c r="Y210" s="454">
        <f t="shared" si="283"/>
        <v>143.46143688852348</v>
      </c>
      <c r="AA210" s="223">
        <f t="shared" si="317"/>
        <v>0.61483472952224361</v>
      </c>
      <c r="AB210" s="179">
        <f t="shared" si="348"/>
        <v>1.3200560333372484</v>
      </c>
      <c r="AC210" s="179">
        <f t="shared" si="349"/>
        <v>0.42609855446083422</v>
      </c>
      <c r="AD210" s="179"/>
      <c r="AE210" s="179">
        <f t="shared" si="320"/>
        <v>0.64410286372225389</v>
      </c>
      <c r="AF210" s="563">
        <f t="shared" si="350"/>
        <v>3450.1045522140007</v>
      </c>
      <c r="AG210" s="546">
        <f t="shared" si="322"/>
        <v>0.10144620103625497</v>
      </c>
      <c r="AI210" s="179">
        <f t="shared" si="323"/>
        <v>0.94189688501336799</v>
      </c>
      <c r="AJ210" s="179">
        <f t="shared" si="351"/>
        <v>1.5</v>
      </c>
      <c r="AK210" s="179">
        <f t="shared" si="352"/>
        <v>2.0888888888888886</v>
      </c>
      <c r="AM210" s="563">
        <f t="shared" si="326"/>
        <v>1000</v>
      </c>
      <c r="AN210" s="472">
        <f t="shared" si="327"/>
        <v>143.46143688852348</v>
      </c>
      <c r="AP210" t="str">
        <f t="shared" si="328"/>
        <v/>
      </c>
      <c r="AQ210" t="str">
        <f t="shared" si="329"/>
        <v/>
      </c>
      <c r="AS210" s="6">
        <f t="shared" si="340"/>
        <v>6.9705143186112695</v>
      </c>
      <c r="AT210" s="6">
        <f t="shared" si="330"/>
        <v>3.75</v>
      </c>
      <c r="AU210" s="6">
        <f t="shared" si="284"/>
        <v>3.2205143186112695</v>
      </c>
      <c r="AV210" s="6"/>
      <c r="AW210" s="179">
        <f t="shared" si="285"/>
        <v>0.53798038833196316</v>
      </c>
      <c r="AX210" s="179">
        <f t="shared" si="336"/>
        <v>4.8418234949876675</v>
      </c>
      <c r="AY210" s="179">
        <f t="shared" si="337"/>
        <v>1.0395441262530829</v>
      </c>
      <c r="AZ210" s="179">
        <f t="shared" si="341"/>
        <v>4.6576411454889008</v>
      </c>
      <c r="BA210" s="472">
        <f t="shared" si="334"/>
        <v>75</v>
      </c>
      <c r="BB210" s="6">
        <f t="shared" si="335"/>
        <v>1.2424823760074339</v>
      </c>
      <c r="BD210" s="179">
        <f t="shared" si="342"/>
        <v>0.63520492067440126</v>
      </c>
      <c r="BE210" s="179">
        <f t="shared" si="338"/>
        <v>1.7659649993018687</v>
      </c>
      <c r="BG210" s="546">
        <f t="shared" si="286"/>
        <v>0.14121985193714034</v>
      </c>
      <c r="BH210" s="546">
        <f t="shared" si="287"/>
        <v>4.50289585033853E-2</v>
      </c>
      <c r="BI210" s="546">
        <f t="shared" si="288"/>
        <v>1.7932679611065434E-3</v>
      </c>
      <c r="BJ210" s="546">
        <f t="shared" si="289"/>
        <v>5.5835908544197782E-3</v>
      </c>
      <c r="BK210">
        <f t="shared" si="290"/>
        <v>3.48E-3</v>
      </c>
      <c r="BM210" s="472">
        <f t="shared" si="291"/>
        <v>197.10566925605201</v>
      </c>
      <c r="BN210" s="546">
        <f t="shared" si="292"/>
        <v>0.4</v>
      </c>
      <c r="BQ210" s="472">
        <f t="shared" si="293"/>
        <v>400</v>
      </c>
      <c r="BR210" s="546">
        <f t="shared" si="294"/>
        <v>8.0697058249794493E-2</v>
      </c>
      <c r="BS210" s="546">
        <f t="shared" si="295"/>
        <v>0.12474529515036997</v>
      </c>
      <c r="BT210" s="546">
        <f t="shared" si="296"/>
        <v>3.3965349895381462E-2</v>
      </c>
      <c r="BU210" s="546"/>
      <c r="BV210" s="546">
        <f t="shared" si="297"/>
        <v>3.227882329991779E-2</v>
      </c>
      <c r="BW210" s="472">
        <f t="shared" si="298"/>
        <v>271.6865265954637</v>
      </c>
      <c r="BX210" s="179">
        <f t="shared" si="299"/>
        <v>0.86879219585151579</v>
      </c>
      <c r="BY210" s="6">
        <f t="shared" si="300"/>
        <v>4.357641145488901</v>
      </c>
      <c r="BZ210" s="179">
        <f t="shared" si="301"/>
        <v>0.83376958259861833</v>
      </c>
      <c r="CA210" s="6">
        <f t="shared" si="302"/>
        <v>83.376958259861837</v>
      </c>
      <c r="CD210" s="581">
        <f t="shared" si="331"/>
        <v>-50</v>
      </c>
      <c r="CE210">
        <f t="shared" si="332"/>
        <v>-50</v>
      </c>
    </row>
    <row r="211" spans="5:85" x14ac:dyDescent="0.2">
      <c r="E211" s="176"/>
      <c r="F211" s="223"/>
      <c r="G211" s="223"/>
      <c r="H211" s="223"/>
      <c r="I211" s="559"/>
      <c r="J211" s="454"/>
      <c r="K211" s="454"/>
      <c r="L211" s="454"/>
      <c r="M211" s="223"/>
      <c r="N211" s="178"/>
      <c r="O211" s="178"/>
      <c r="P211" s="223"/>
      <c r="Q211" s="223"/>
      <c r="R211" s="223"/>
      <c r="S211" s="178"/>
      <c r="T211" s="554"/>
      <c r="U211" s="223"/>
      <c r="V211" s="223"/>
      <c r="W211" s="223"/>
      <c r="X211" s="203"/>
      <c r="Y211" s="454"/>
      <c r="AA211" s="223"/>
      <c r="AB211" s="179"/>
      <c r="AC211" s="179"/>
      <c r="AD211" s="179"/>
      <c r="AE211" s="179"/>
      <c r="AF211" s="563"/>
      <c r="AG211" s="546"/>
      <c r="AI211" s="179"/>
      <c r="AJ211" s="179"/>
      <c r="AK211" s="179"/>
      <c r="AM211" s="563"/>
      <c r="AN211" s="472"/>
      <c r="AS211" s="6"/>
      <c r="AT211" s="6"/>
      <c r="AU211" s="6"/>
      <c r="AV211" s="6"/>
      <c r="AW211" s="179"/>
      <c r="AX211" s="179"/>
      <c r="BA211" s="472"/>
      <c r="BB211" s="6"/>
      <c r="CD211" s="581"/>
      <c r="CF211" s="548">
        <f>MAX(CE110:CE210)</f>
        <v>3.9241822060876053</v>
      </c>
      <c r="CG211" s="78" t="s">
        <v>45</v>
      </c>
    </row>
    <row r="212" spans="5:85" x14ac:dyDescent="0.2">
      <c r="E212" s="664">
        <v>101</v>
      </c>
      <c r="F212" s="665">
        <f>Ioutmax_Vinmin</f>
        <v>0.7570451612903224</v>
      </c>
      <c r="H212" s="223">
        <f t="shared" ref="H212" si="354">F212*Vout</f>
        <v>3.7852258064516118</v>
      </c>
      <c r="I212" s="559">
        <f t="shared" si="304"/>
        <v>12</v>
      </c>
      <c r="J212" s="454">
        <f t="shared" ref="J212" si="355">(T212+Vfwd1)*Nps</f>
        <v>15.899999999999999</v>
      </c>
      <c r="K212" s="454">
        <f t="shared" ref="K212" si="356">(Vout+Vfwd1)*Nps+I212</f>
        <v>27.9</v>
      </c>
      <c r="L212" s="454"/>
      <c r="M212" s="223">
        <f t="shared" ref="M212" si="357">(Vout+Vfwd1)*Nps/((Vout+Vfwd1)*Nps+I212)</f>
        <v>0.56989247311827951</v>
      </c>
      <c r="N212" s="178">
        <f t="shared" ref="N212" si="358">M212*I212*Isw_max*0.5*Efficiency</f>
        <v>4.6161290322580646</v>
      </c>
      <c r="O212" s="178">
        <f t="shared" ref="O212" si="359">T212*F212</f>
        <v>3.7852258064516118</v>
      </c>
      <c r="P212" s="223">
        <f t="shared" ref="P212" si="360">N212/Vout</f>
        <v>0.9232258064516129</v>
      </c>
      <c r="Q212" s="223">
        <f t="shared" ref="Q212" si="361">MIN(Vout,N212/F212)</f>
        <v>5</v>
      </c>
      <c r="R212" s="223"/>
      <c r="S212" s="178">
        <f t="shared" ref="S212" si="362">(SQRT(Isw_max^2*Nps^2*I212^2+4*Isw_max*F212/Efficiency*(Nps^2*Vfwd1*I212-Nps*I212^2)+4*(F212/Efficiency)^2*Nps^2*Vfwd1^2+8*(F212/Efficiency)^2*Nps*Vfwd1*I212+4*(F212/Efficiency)^2*I212^2)-2*F212/Efficiency*I212-2*F212/Efficiency*Nps*Vfwd1+Isw_max*Nps*I212)/(4*F212/Efficiency*Nps)</f>
        <v>6.8669295070826761</v>
      </c>
      <c r="T212" s="554">
        <f t="shared" ref="T212" si="363">MIN(Vout, S212)</f>
        <v>5</v>
      </c>
      <c r="U212" s="223">
        <f t="shared" ref="U212" si="364">MIN(2*Vout*F212/(Efficiency*I212*M212), Isw_max)</f>
        <v>1.2299999999999998</v>
      </c>
      <c r="V212" s="223">
        <f t="shared" ref="V212" si="365">L*U212/I212*1000000</f>
        <v>3.0749999999999997</v>
      </c>
      <c r="W212" s="223">
        <f t="shared" ref="W212" si="366">L*U212/J212*1000000</f>
        <v>2.3207547169811322</v>
      </c>
      <c r="X212" s="203">
        <f t="shared" ref="X212" si="367">IF(1/((350000*L)*(1/I212+1/J212))&gt;Isw_min, 350, 0.001/((Isw_min*L)*(1/I212+1/J212)))</f>
        <v>350</v>
      </c>
      <c r="Y212" s="454">
        <f t="shared" ref="Y212" si="368">MIN(1/(V212+W212)*1000, 350)</f>
        <v>185.33088556692019</v>
      </c>
      <c r="AA212" s="223">
        <f t="shared" ref="AA212" si="369">1/((X212*1000*L)*(1/I212+1/J212))</f>
        <v>0.65130568356374818</v>
      </c>
      <c r="AB212" s="179">
        <f t="shared" ref="AB212" si="370">L*AA212/J212*1000000</f>
        <v>1.2288786482334872</v>
      </c>
      <c r="AC212" s="179">
        <f t="shared" ref="AC212" si="371">0.5*AB212*AA212*Nps*X212/1000</f>
        <v>0.42019721520241832</v>
      </c>
      <c r="AD212" s="179"/>
      <c r="AE212" s="179">
        <f t="shared" ref="AE212" si="372">L*Isw_min/J212*1000000</f>
        <v>0.5660377358490567</v>
      </c>
      <c r="AF212" s="563">
        <f t="shared" ref="AF212" si="373">MAX(10000,F212/(0.5*AE212/1000000*Isw_min*Nps))/1000</f>
        <v>2972.1032258064506</v>
      </c>
      <c r="AG212" s="546">
        <f t="shared" ref="AG212" si="374">0.5*AE212/1000000*Isw_min*Nps*X212*1000</f>
        <v>8.9150943396226423E-2</v>
      </c>
      <c r="AI212" s="179">
        <f t="shared" ref="AI212" si="375">SQRT(F212/(0.5*L/J212*Fsw_DCM*Nps))</f>
        <v>0.87421685822647743</v>
      </c>
      <c r="AJ212" s="179">
        <f t="shared" ref="AJ212" si="376">MAX(IF(F212&gt;AC212,U212,AI212),Isw_min)</f>
        <v>1.2299999999999998</v>
      </c>
      <c r="AK212" s="179">
        <f t="shared" ref="AK212" si="377">IF(F212&gt;AG212, (AJ212-Isw_min)/1.08*0.8+1.2, AF212*0.2/350+1)</f>
        <v>1.8888888888888886</v>
      </c>
      <c r="AM212" s="563">
        <f t="shared" ref="AM212" si="378">F212*1000</f>
        <v>757.04516129032243</v>
      </c>
      <c r="AN212" s="472">
        <f t="shared" ref="AN212" si="379">IF(F212&gt;AG212, Y212, AF212)</f>
        <v>185.33088556692019</v>
      </c>
      <c r="AS212" s="6">
        <f t="shared" ref="AS212" si="380">1/AN212*1000</f>
        <v>5.3957547169811315</v>
      </c>
      <c r="AT212" s="6">
        <f t="shared" ref="AT212" si="381">L*AJ212/I212*1000000</f>
        <v>3.0749999999999997</v>
      </c>
      <c r="AU212" s="6">
        <f t="shared" si="284"/>
        <v>2.3207547169811318</v>
      </c>
      <c r="AV212" s="6"/>
      <c r="AW212" s="179"/>
      <c r="AX212" s="179"/>
      <c r="BA212" s="472">
        <f t="shared" si="334"/>
        <v>46.558277419354823</v>
      </c>
      <c r="BB212" s="6"/>
      <c r="CD212" s="581"/>
    </row>
    <row r="213" spans="5:85" x14ac:dyDescent="0.2">
      <c r="H213" s="223"/>
      <c r="I213" s="559"/>
      <c r="J213" s="454"/>
      <c r="K213" s="454"/>
      <c r="L213" s="454"/>
      <c r="M213" s="223"/>
      <c r="N213" s="178"/>
      <c r="O213" s="178"/>
      <c r="P213" s="223"/>
      <c r="Q213" s="223"/>
      <c r="R213" s="223"/>
      <c r="S213" s="178"/>
      <c r="T213" s="178"/>
      <c r="U213" s="223"/>
      <c r="V213" s="223"/>
      <c r="W213" s="223"/>
      <c r="X213" s="203"/>
      <c r="Y213" s="454"/>
      <c r="AA213" s="223"/>
      <c r="AB213" s="179"/>
      <c r="AC213" s="179"/>
      <c r="AD213" s="179"/>
      <c r="AE213" s="179"/>
      <c r="AF213" s="563"/>
      <c r="AI213" s="179"/>
      <c r="AJ213" s="179"/>
      <c r="AK213" s="179"/>
      <c r="AM213" s="563"/>
      <c r="AN213" s="472"/>
      <c r="AS213" s="6"/>
      <c r="AT213" s="6"/>
      <c r="AU213" s="6"/>
      <c r="AV213" s="6"/>
      <c r="AW213" s="179"/>
      <c r="AX213" s="179"/>
      <c r="BA213" s="472"/>
      <c r="BB213" s="6"/>
      <c r="CD213" s="581"/>
    </row>
    <row r="214" spans="5:85" x14ac:dyDescent="0.2">
      <c r="E214" s="456" t="s">
        <v>448</v>
      </c>
      <c r="H214" s="223"/>
      <c r="I214" s="559"/>
      <c r="J214" s="454"/>
      <c r="K214" s="454"/>
      <c r="L214" s="454"/>
      <c r="M214" s="223"/>
      <c r="N214" s="178"/>
      <c r="O214" s="178"/>
      <c r="P214" s="223"/>
      <c r="Q214" s="223"/>
      <c r="R214" s="223"/>
      <c r="S214" s="178"/>
      <c r="T214" s="178"/>
      <c r="U214" s="223"/>
      <c r="V214" s="223"/>
      <c r="W214" s="223"/>
      <c r="X214" s="203"/>
      <c r="Y214" s="454"/>
      <c r="AA214" s="223"/>
      <c r="AB214" s="179"/>
      <c r="AC214" s="179"/>
      <c r="AD214" s="179"/>
      <c r="AE214" s="179"/>
      <c r="AF214" s="563"/>
      <c r="AI214" s="179"/>
      <c r="AJ214" s="179"/>
      <c r="AK214" s="179"/>
      <c r="AM214" s="563"/>
      <c r="AN214" s="472"/>
      <c r="AS214" s="6"/>
      <c r="AT214" s="6"/>
      <c r="AU214" s="6"/>
      <c r="AV214" s="6"/>
      <c r="AW214" s="179"/>
      <c r="AX214" s="179"/>
      <c r="BA214" s="472"/>
      <c r="BB214" s="6"/>
      <c r="CD214" s="581"/>
    </row>
    <row r="215" spans="5:85" ht="45" customHeight="1" thickBot="1" x14ac:dyDescent="0.25">
      <c r="E215" s="247" t="s">
        <v>25</v>
      </c>
      <c r="F215" s="455" t="s">
        <v>195</v>
      </c>
      <c r="G215" s="266"/>
      <c r="H215" s="545" t="s">
        <v>224</v>
      </c>
      <c r="I215" s="248" t="s">
        <v>425</v>
      </c>
      <c r="J215" s="249" t="s">
        <v>431</v>
      </c>
      <c r="K215" s="545" t="s">
        <v>426</v>
      </c>
      <c r="L215" s="545"/>
      <c r="M215" s="250" t="s">
        <v>48</v>
      </c>
      <c r="N215" s="545" t="s">
        <v>415</v>
      </c>
      <c r="O215" s="178"/>
      <c r="P215" s="545" t="s">
        <v>416</v>
      </c>
      <c r="Q215" s="545" t="s">
        <v>446</v>
      </c>
      <c r="R215" s="545"/>
      <c r="S215" s="178"/>
      <c r="T215" s="178"/>
      <c r="U215" s="545" t="s">
        <v>427</v>
      </c>
      <c r="V215" s="545" t="s">
        <v>479</v>
      </c>
      <c r="W215" s="545" t="s">
        <v>478</v>
      </c>
      <c r="X215" s="565" t="s">
        <v>433</v>
      </c>
      <c r="Y215" s="560" t="s">
        <v>438</v>
      </c>
      <c r="AA215" s="251" t="s">
        <v>430</v>
      </c>
      <c r="AB215" s="251" t="s">
        <v>477</v>
      </c>
      <c r="AC215" s="251" t="s">
        <v>436</v>
      </c>
      <c r="AD215" s="562"/>
      <c r="AE215" s="251" t="s">
        <v>476</v>
      </c>
      <c r="AF215" s="251" t="s">
        <v>439</v>
      </c>
      <c r="AG215" s="251" t="s">
        <v>440</v>
      </c>
      <c r="AH215" s="562"/>
      <c r="AI215" s="251" t="s">
        <v>442</v>
      </c>
      <c r="AJ215" s="566" t="s">
        <v>443</v>
      </c>
      <c r="AK215" s="566" t="s">
        <v>444</v>
      </c>
      <c r="AM215" s="561" t="s">
        <v>276</v>
      </c>
      <c r="AN215" s="561" t="s">
        <v>445</v>
      </c>
      <c r="AP215" s="251" t="s">
        <v>276</v>
      </c>
      <c r="AQ215" s="251" t="s">
        <v>445</v>
      </c>
      <c r="AR215" s="567"/>
      <c r="AS215" s="251" t="s">
        <v>480</v>
      </c>
      <c r="AT215" s="251" t="s">
        <v>474</v>
      </c>
      <c r="AU215" s="251" t="s">
        <v>475</v>
      </c>
      <c r="AV215" s="251" t="s">
        <v>682</v>
      </c>
      <c r="AW215" s="251" t="s">
        <v>48</v>
      </c>
      <c r="AX215" s="567" t="s">
        <v>680</v>
      </c>
      <c r="AY215" s="562" t="s">
        <v>679</v>
      </c>
      <c r="AZ215" s="562" t="s">
        <v>681</v>
      </c>
      <c r="BA215" s="251" t="s">
        <v>495</v>
      </c>
      <c r="BB215" s="251" t="s">
        <v>531</v>
      </c>
      <c r="BC215" s="562"/>
      <c r="BD215" s="576" t="s">
        <v>469</v>
      </c>
      <c r="BE215" s="251" t="s">
        <v>470</v>
      </c>
      <c r="BF215" s="562"/>
      <c r="BG215" s="576" t="s">
        <v>487</v>
      </c>
      <c r="BH215" s="251" t="s">
        <v>488</v>
      </c>
      <c r="BI215" s="251" t="s">
        <v>486</v>
      </c>
      <c r="BJ215" s="251" t="s">
        <v>482</v>
      </c>
      <c r="BK215" s="251" t="s">
        <v>491</v>
      </c>
      <c r="BL215" s="251"/>
      <c r="BM215" s="251" t="s">
        <v>506</v>
      </c>
      <c r="BN215" s="576" t="s">
        <v>489</v>
      </c>
      <c r="BO215" s="251" t="s">
        <v>490</v>
      </c>
      <c r="BP215" s="251" t="s">
        <v>498</v>
      </c>
      <c r="BQ215" s="251" t="s">
        <v>502</v>
      </c>
      <c r="BR215" s="576" t="s">
        <v>471</v>
      </c>
      <c r="BS215" s="251" t="s">
        <v>472</v>
      </c>
      <c r="BT215" s="251" t="s">
        <v>481</v>
      </c>
      <c r="BU215" s="251"/>
      <c r="BV215" s="251" t="s">
        <v>499</v>
      </c>
      <c r="BW215" s="251" t="s">
        <v>501</v>
      </c>
      <c r="BX215" s="576" t="s">
        <v>497</v>
      </c>
      <c r="BY215" s="251" t="s">
        <v>224</v>
      </c>
      <c r="BZ215" s="251" t="s">
        <v>47</v>
      </c>
      <c r="CA215" s="251" t="s">
        <v>500</v>
      </c>
      <c r="CB215" s="251"/>
      <c r="CD215" s="581"/>
    </row>
    <row r="216" spans="5:85" x14ac:dyDescent="0.2">
      <c r="E216" s="176">
        <v>0.1</v>
      </c>
      <c r="F216" s="223">
        <v>1.0000000000000001E-9</v>
      </c>
      <c r="G216" s="223"/>
      <c r="H216" s="223">
        <f t="shared" ref="H216:H247" si="382">F216*Vout</f>
        <v>5.0000000000000001E-9</v>
      </c>
      <c r="I216" s="559">
        <f t="shared" ref="I216:I247" si="383">VIN_max</f>
        <v>48</v>
      </c>
      <c r="J216" s="454">
        <f t="shared" ref="J216:J247" si="384">(T216+Vfwd1)*Nps</f>
        <v>15.899999999999999</v>
      </c>
      <c r="K216" s="454">
        <f t="shared" ref="K216:K247" si="385">(Vout+Vfwd1)*Nps+I216</f>
        <v>63.9</v>
      </c>
      <c r="L216" s="454"/>
      <c r="M216" s="223">
        <f t="shared" ref="M216:M247" si="386">(Vout+Vfwd1)*Nps/((Vout+Vfwd1)*Nps+I216)</f>
        <v>0.24882629107981219</v>
      </c>
      <c r="N216" s="178">
        <f t="shared" ref="N216:N247" si="387">M216*I216*Isw_max*0.5*Efficiency</f>
        <v>8.0619718309859145</v>
      </c>
      <c r="O216" s="178">
        <f t="shared" si="339"/>
        <v>5.0000000000000001E-9</v>
      </c>
      <c r="P216" s="223">
        <f t="shared" ref="P216:P247" si="388">N216/Vout</f>
        <v>1.6123943661971829</v>
      </c>
      <c r="Q216" s="223">
        <f t="shared" ref="Q216:Q247" si="389">MIN(Vout,N216/F216)</f>
        <v>5</v>
      </c>
      <c r="R216" s="223"/>
      <c r="S216" s="178">
        <f t="shared" ref="S216:S247" si="390">(SQRT(Isw_max^2*Nps^2*I216^2+4*Isw_max*F216/Efficiency*(Nps^2*Vfwd1*I216-Nps*I216^2)+4*(F216/Efficiency)^2*Nps^2*Vfwd1^2+8*(F216/Efficiency)^2*Nps*Vfwd1*I216+4*(F216/Efficiency)^2*I216^2)-2*F216/Efficiency*I216-2*F216/Efficiency*Nps*Vfwd1+Isw_max*Nps*I216)/(4*F216/Efficiency*Nps)</f>
        <v>32399999983.999996</v>
      </c>
      <c r="T216" s="178">
        <f t="shared" ref="T216:T247" si="391">MIN(Vout, S216)</f>
        <v>5</v>
      </c>
      <c r="U216" s="223">
        <f t="shared" ref="U216:U247" si="392">MIN(2*Vout*F216/(Efficiency*I216*M216), Isw_max)</f>
        <v>9.3029350104821804E-10</v>
      </c>
      <c r="V216" s="223">
        <f t="shared" ref="V216:V247" si="393">L*U216/I216*1000000</f>
        <v>5.8143343815513634E-10</v>
      </c>
      <c r="W216" s="223">
        <f t="shared" ref="W216:W247" si="394">L*U216/J216*1000000</f>
        <v>1.7552707566947512E-9</v>
      </c>
      <c r="X216" s="203">
        <f t="shared" ref="X216:X247" si="395">IF(1/((350000*L)*(1/I216+1/J216))&gt;Isw_min, 350, 0.001/((Isw_min*L)*(1/I216+1/J216)))</f>
        <v>350</v>
      </c>
      <c r="Y216" s="454">
        <f t="shared" ref="Y216:Y275" si="396">MIN(1/(V216+W216)*1000, 350)</f>
        <v>350</v>
      </c>
      <c r="AA216" s="223">
        <f t="shared" ref="AA216:AA247" si="397">1/((X216*1000*L)*(1/I216+1/J216))</f>
        <v>1.1374916163648559</v>
      </c>
      <c r="AB216" s="179">
        <f t="shared" ref="AB216:AB247" si="398">L*AA216/J216*1000000</f>
        <v>2.1462105969148224</v>
      </c>
      <c r="AC216" s="179">
        <f t="shared" ref="AC216:AC247" si="399">0.5*AB216*AA216*Nps*X216/1000</f>
        <v>1.2816806944956125</v>
      </c>
      <c r="AD216" s="179"/>
      <c r="AE216" s="179">
        <f t="shared" ref="AE216:AE247" si="400">L*Isw_min/J216*1000000</f>
        <v>0.5660377358490567</v>
      </c>
      <c r="AF216" s="563">
        <f t="shared" ref="AF216:AF247" si="401">MAX(10000,F216/(0.5*AE216/1000000*Isw_min*Nps))/1000</f>
        <v>10</v>
      </c>
      <c r="AG216" s="546">
        <f t="shared" ref="AG216:AG247" si="402">0.5*AE216/1000000*Isw_min*Nps*X216*1000</f>
        <v>8.9150943396226423E-2</v>
      </c>
      <c r="AI216" s="179">
        <f t="shared" ref="AI216:AI247" si="403">SQRT(F216/(0.5*L/J216*Fsw_DCM*Nps))</f>
        <v>3.1773004414499577E-5</v>
      </c>
      <c r="AJ216" s="179">
        <f t="shared" ref="AJ216:AJ247" si="404">MAX(IF(F216&gt;AC216,U216,AI216),Isw_min)</f>
        <v>0.3</v>
      </c>
      <c r="AK216" s="179">
        <f t="shared" ref="AK216:AK247" si="405">IF(F216&gt;AG216, (AJ216-Isw_min)/1.08*0.8+1.2, AF216*0.2/350+1)</f>
        <v>1.0057142857142858</v>
      </c>
      <c r="AM216" s="563">
        <f t="shared" ref="AM216:AM247" si="406">F216*1000</f>
        <v>1.0000000000000002E-6</v>
      </c>
      <c r="AN216" s="472">
        <f t="shared" ref="AN216:AN247" si="407">IF(F216&gt;AG216, Y216, AF216)</f>
        <v>10</v>
      </c>
      <c r="AP216">
        <f t="shared" ref="AP216:AP247" si="408">IF(H216&gt;N216, "",AM216)</f>
        <v>1.0000000000000002E-6</v>
      </c>
      <c r="AQ216">
        <f t="shared" ref="AQ216:AQ247" si="409">IF(H216&gt;N216, "",AN216)</f>
        <v>10</v>
      </c>
      <c r="AS216" s="6">
        <f t="shared" si="340"/>
        <v>100</v>
      </c>
      <c r="AT216" s="6">
        <f t="shared" ref="AT216:AT247" si="410">L*AJ216/I216*1000000</f>
        <v>0.1875</v>
      </c>
      <c r="AU216" s="6">
        <f t="shared" si="284"/>
        <v>99.8125</v>
      </c>
      <c r="AV216" s="6"/>
      <c r="AW216" s="179">
        <f t="shared" si="285"/>
        <v>1.8749999999999999E-3</v>
      </c>
      <c r="AX216" s="179"/>
      <c r="BA216" s="472">
        <f t="shared" si="334"/>
        <v>3.7500000000000005E-9</v>
      </c>
      <c r="BB216" s="6">
        <f t="shared" si="335"/>
        <v>9.6269772376543204E-9</v>
      </c>
      <c r="CD216" s="581">
        <f t="shared" ref="CD216:CD247" si="411">IF(ABS(F216-Ioutmax_Vinmax)&lt;Iout/200, AN216, -50)</f>
        <v>-50</v>
      </c>
      <c r="CE216">
        <f t="shared" ref="CE216:CE247" si="412">IF(ABS(F216-Ioutmax_Vinmin)&lt;Iout/200, N216*BZ216, -50)</f>
        <v>-50</v>
      </c>
    </row>
    <row r="217" spans="5:85" x14ac:dyDescent="0.2">
      <c r="E217" s="176">
        <v>1</v>
      </c>
      <c r="F217" s="223">
        <f t="shared" ref="F217:F248" si="413">IF(PLOT_TYPE=1, E217/100*Iout_max, min_I*EXP(N217*rr/100))</f>
        <v>0.01</v>
      </c>
      <c r="G217" s="223"/>
      <c r="H217" s="223">
        <f t="shared" si="382"/>
        <v>0.05</v>
      </c>
      <c r="I217" s="559">
        <f t="shared" si="383"/>
        <v>48</v>
      </c>
      <c r="J217" s="454">
        <f t="shared" si="384"/>
        <v>15.899999999999999</v>
      </c>
      <c r="K217" s="454">
        <f t="shared" si="385"/>
        <v>63.9</v>
      </c>
      <c r="L217" s="454"/>
      <c r="M217" s="223">
        <f t="shared" si="386"/>
        <v>0.24882629107981219</v>
      </c>
      <c r="N217" s="178">
        <f t="shared" si="387"/>
        <v>8.0619718309859145</v>
      </c>
      <c r="O217" s="178">
        <f t="shared" si="339"/>
        <v>0.05</v>
      </c>
      <c r="P217" s="223">
        <f t="shared" si="388"/>
        <v>1.6123943661971829</v>
      </c>
      <c r="Q217" s="223">
        <f t="shared" si="389"/>
        <v>5</v>
      </c>
      <c r="R217" s="223"/>
      <c r="S217" s="178">
        <f t="shared" si="390"/>
        <v>3224.0014886945332</v>
      </c>
      <c r="T217" s="178">
        <f t="shared" si="391"/>
        <v>5</v>
      </c>
      <c r="U217" s="223">
        <f t="shared" si="392"/>
        <v>9.3029350104821811E-3</v>
      </c>
      <c r="V217" s="223">
        <f t="shared" si="393"/>
        <v>5.8143343815513634E-3</v>
      </c>
      <c r="W217" s="223">
        <f t="shared" si="394"/>
        <v>1.7552707566947514E-2</v>
      </c>
      <c r="X217" s="203">
        <f t="shared" si="395"/>
        <v>350</v>
      </c>
      <c r="Y217" s="454">
        <f t="shared" si="396"/>
        <v>350</v>
      </c>
      <c r="AA217" s="223">
        <f t="shared" si="397"/>
        <v>1.1374916163648559</v>
      </c>
      <c r="AB217" s="179">
        <f t="shared" si="398"/>
        <v>2.1462105969148224</v>
      </c>
      <c r="AC217" s="179">
        <f t="shared" si="399"/>
        <v>1.2816806944956125</v>
      </c>
      <c r="AD217" s="179"/>
      <c r="AE217" s="179">
        <f t="shared" si="400"/>
        <v>0.5660377358490567</v>
      </c>
      <c r="AF217" s="563">
        <f t="shared" si="401"/>
        <v>39.259259259259252</v>
      </c>
      <c r="AG217" s="546">
        <f t="shared" si="402"/>
        <v>8.9150943396226423E-2</v>
      </c>
      <c r="AI217" s="179">
        <f t="shared" si="403"/>
        <v>0.1004750620564033</v>
      </c>
      <c r="AJ217" s="179">
        <f t="shared" si="404"/>
        <v>0.3</v>
      </c>
      <c r="AK217" s="179">
        <f t="shared" si="405"/>
        <v>1.0224338624338625</v>
      </c>
      <c r="AM217" s="563">
        <f t="shared" si="406"/>
        <v>10</v>
      </c>
      <c r="AN217" s="472">
        <f t="shared" si="407"/>
        <v>39.259259259259252</v>
      </c>
      <c r="AP217">
        <f t="shared" si="408"/>
        <v>10</v>
      </c>
      <c r="AQ217">
        <f t="shared" si="409"/>
        <v>39.259259259259252</v>
      </c>
      <c r="AS217" s="6">
        <f t="shared" si="340"/>
        <v>25.471698113207552</v>
      </c>
      <c r="AT217" s="6">
        <f t="shared" si="410"/>
        <v>0.1875</v>
      </c>
      <c r="AU217" s="6">
        <f t="shared" si="284"/>
        <v>25.284198113207552</v>
      </c>
      <c r="AV217" s="6"/>
      <c r="AW217" s="179">
        <f t="shared" si="285"/>
        <v>7.3611111111111099E-3</v>
      </c>
      <c r="AX217" s="179"/>
      <c r="BA217" s="472">
        <f t="shared" si="334"/>
        <v>3.7499999999999999E-2</v>
      </c>
      <c r="BB217" s="6">
        <f t="shared" si="335"/>
        <v>2.4386765155485678E-2</v>
      </c>
      <c r="CD217" s="581">
        <f t="shared" si="411"/>
        <v>-50</v>
      </c>
      <c r="CE217">
        <f t="shared" si="412"/>
        <v>-50</v>
      </c>
    </row>
    <row r="218" spans="5:85" x14ac:dyDescent="0.2">
      <c r="E218" s="176">
        <v>2</v>
      </c>
      <c r="F218" s="223">
        <f t="shared" si="413"/>
        <v>0.02</v>
      </c>
      <c r="G218" s="223"/>
      <c r="H218" s="223">
        <f t="shared" si="382"/>
        <v>0.1</v>
      </c>
      <c r="I218" s="559">
        <f t="shared" si="383"/>
        <v>48</v>
      </c>
      <c r="J218" s="454">
        <f t="shared" si="384"/>
        <v>15.899999999999999</v>
      </c>
      <c r="K218" s="454">
        <f t="shared" si="385"/>
        <v>63.9</v>
      </c>
      <c r="L218" s="454"/>
      <c r="M218" s="223">
        <f t="shared" si="386"/>
        <v>0.24882629107981219</v>
      </c>
      <c r="N218" s="178">
        <f t="shared" si="387"/>
        <v>8.0619718309859145</v>
      </c>
      <c r="O218" s="178">
        <f t="shared" si="339"/>
        <v>0.1</v>
      </c>
      <c r="P218" s="223">
        <f t="shared" si="388"/>
        <v>1.6123943661971829</v>
      </c>
      <c r="Q218" s="223">
        <f t="shared" si="389"/>
        <v>5</v>
      </c>
      <c r="R218" s="223"/>
      <c r="S218" s="178">
        <f t="shared" si="390"/>
        <v>1604.00299195353</v>
      </c>
      <c r="T218" s="178">
        <f t="shared" si="391"/>
        <v>5</v>
      </c>
      <c r="U218" s="223">
        <f t="shared" si="392"/>
        <v>1.8605870020964362E-2</v>
      </c>
      <c r="V218" s="223">
        <f t="shared" si="393"/>
        <v>1.1628668763102727E-2</v>
      </c>
      <c r="W218" s="223">
        <f t="shared" si="394"/>
        <v>3.5105415133895028E-2</v>
      </c>
      <c r="X218" s="203">
        <f t="shared" si="395"/>
        <v>350</v>
      </c>
      <c r="Y218" s="454">
        <f t="shared" si="396"/>
        <v>350</v>
      </c>
      <c r="AA218" s="223">
        <f t="shared" si="397"/>
        <v>1.1374916163648559</v>
      </c>
      <c r="AB218" s="179">
        <f t="shared" si="398"/>
        <v>2.1462105969148224</v>
      </c>
      <c r="AC218" s="179">
        <f t="shared" si="399"/>
        <v>1.2816806944956125</v>
      </c>
      <c r="AD218" s="179"/>
      <c r="AE218" s="179">
        <f t="shared" si="400"/>
        <v>0.5660377358490567</v>
      </c>
      <c r="AF218" s="563">
        <f t="shared" si="401"/>
        <v>78.518518518518505</v>
      </c>
      <c r="AG218" s="546">
        <f t="shared" si="402"/>
        <v>8.9150943396226423E-2</v>
      </c>
      <c r="AI218" s="179">
        <f t="shared" si="403"/>
        <v>0.14209319544044391</v>
      </c>
      <c r="AJ218" s="179">
        <f t="shared" si="404"/>
        <v>0.3</v>
      </c>
      <c r="AK218" s="179">
        <f t="shared" si="405"/>
        <v>1.0448677248677249</v>
      </c>
      <c r="AM218" s="563">
        <f t="shared" si="406"/>
        <v>20</v>
      </c>
      <c r="AN218" s="472">
        <f t="shared" si="407"/>
        <v>78.518518518518505</v>
      </c>
      <c r="AP218">
        <f t="shared" si="408"/>
        <v>20</v>
      </c>
      <c r="AQ218">
        <f t="shared" si="409"/>
        <v>78.518518518518505</v>
      </c>
      <c r="AS218" s="6">
        <f t="shared" si="340"/>
        <v>12.735849056603776</v>
      </c>
      <c r="AT218" s="6">
        <f t="shared" si="410"/>
        <v>0.1875</v>
      </c>
      <c r="AU218" s="6">
        <f t="shared" si="284"/>
        <v>12.548349056603776</v>
      </c>
      <c r="AV218" s="6"/>
      <c r="AW218" s="179">
        <f t="shared" si="285"/>
        <v>1.472222222222222E-2</v>
      </c>
      <c r="AX218" s="179"/>
      <c r="BA218" s="472">
        <f t="shared" si="334"/>
        <v>7.4999999999999997E-2</v>
      </c>
      <c r="BB218" s="6">
        <f t="shared" si="335"/>
        <v>2.4205920248078272E-2</v>
      </c>
      <c r="CD218" s="581">
        <f t="shared" si="411"/>
        <v>-50</v>
      </c>
      <c r="CE218">
        <f t="shared" si="412"/>
        <v>-50</v>
      </c>
    </row>
    <row r="219" spans="5:85" x14ac:dyDescent="0.2">
      <c r="E219" s="176">
        <v>3</v>
      </c>
      <c r="F219" s="223">
        <f t="shared" si="413"/>
        <v>0.03</v>
      </c>
      <c r="G219" s="223"/>
      <c r="H219" s="223">
        <f t="shared" si="382"/>
        <v>0.15</v>
      </c>
      <c r="I219" s="559">
        <f t="shared" si="383"/>
        <v>48</v>
      </c>
      <c r="J219" s="454">
        <f t="shared" si="384"/>
        <v>15.899999999999999</v>
      </c>
      <c r="K219" s="454">
        <f t="shared" si="385"/>
        <v>63.9</v>
      </c>
      <c r="L219" s="454"/>
      <c r="M219" s="223">
        <f t="shared" si="386"/>
        <v>0.24882629107981219</v>
      </c>
      <c r="N219" s="178">
        <f t="shared" si="387"/>
        <v>8.0619718309859145</v>
      </c>
      <c r="O219" s="178">
        <f t="shared" si="339"/>
        <v>0.15</v>
      </c>
      <c r="P219" s="223">
        <f t="shared" si="388"/>
        <v>1.6123943661971829</v>
      </c>
      <c r="Q219" s="223">
        <f t="shared" si="389"/>
        <v>5</v>
      </c>
      <c r="R219" s="223"/>
      <c r="S219" s="178">
        <f t="shared" si="390"/>
        <v>1064.0045099874658</v>
      </c>
      <c r="T219" s="178">
        <f t="shared" si="391"/>
        <v>5</v>
      </c>
      <c r="U219" s="223">
        <f t="shared" si="392"/>
        <v>2.7908805031446542E-2</v>
      </c>
      <c r="V219" s="223">
        <f t="shared" si="393"/>
        <v>1.7443003144654089E-2</v>
      </c>
      <c r="W219" s="223">
        <f t="shared" si="394"/>
        <v>5.2658122700842538E-2</v>
      </c>
      <c r="X219" s="203">
        <f t="shared" si="395"/>
        <v>350</v>
      </c>
      <c r="Y219" s="454">
        <f t="shared" si="396"/>
        <v>350</v>
      </c>
      <c r="AA219" s="223">
        <f t="shared" si="397"/>
        <v>1.1374916163648559</v>
      </c>
      <c r="AB219" s="179">
        <f t="shared" si="398"/>
        <v>2.1462105969148224</v>
      </c>
      <c r="AC219" s="179">
        <f t="shared" si="399"/>
        <v>1.2816806944956125</v>
      </c>
      <c r="AD219" s="179"/>
      <c r="AE219" s="179">
        <f t="shared" si="400"/>
        <v>0.5660377358490567</v>
      </c>
      <c r="AF219" s="563">
        <f t="shared" si="401"/>
        <v>117.77777777777776</v>
      </c>
      <c r="AG219" s="546">
        <f t="shared" si="402"/>
        <v>8.9150943396226423E-2</v>
      </c>
      <c r="AI219" s="179">
        <f t="shared" si="403"/>
        <v>0.17402791237532639</v>
      </c>
      <c r="AJ219" s="179">
        <f t="shared" si="404"/>
        <v>0.3</v>
      </c>
      <c r="AK219" s="179">
        <f t="shared" si="405"/>
        <v>1.0673015873015872</v>
      </c>
      <c r="AM219" s="563">
        <f t="shared" si="406"/>
        <v>30</v>
      </c>
      <c r="AN219" s="472">
        <f t="shared" si="407"/>
        <v>117.77777777777776</v>
      </c>
      <c r="AP219">
        <f t="shared" si="408"/>
        <v>30</v>
      </c>
      <c r="AQ219">
        <f t="shared" si="409"/>
        <v>117.77777777777776</v>
      </c>
      <c r="AS219" s="6">
        <f t="shared" si="340"/>
        <v>8.4905660377358512</v>
      </c>
      <c r="AT219" s="6">
        <f t="shared" si="410"/>
        <v>0.1875</v>
      </c>
      <c r="AU219" s="6">
        <f t="shared" si="284"/>
        <v>8.3030660377358512</v>
      </c>
      <c r="AV219" s="6"/>
      <c r="AW219" s="179">
        <f t="shared" si="285"/>
        <v>2.2083333333333326E-2</v>
      </c>
      <c r="AX219" s="179"/>
      <c r="BA219" s="472">
        <f t="shared" si="334"/>
        <v>0.1125</v>
      </c>
      <c r="BB219" s="6">
        <f t="shared" si="335"/>
        <v>2.4025075340670859E-2</v>
      </c>
      <c r="CD219" s="581">
        <f t="shared" si="411"/>
        <v>-50</v>
      </c>
      <c r="CE219">
        <f t="shared" si="412"/>
        <v>-50</v>
      </c>
    </row>
    <row r="220" spans="5:85" x14ac:dyDescent="0.2">
      <c r="E220" s="176">
        <v>4</v>
      </c>
      <c r="F220" s="223">
        <f t="shared" si="413"/>
        <v>0.04</v>
      </c>
      <c r="G220" s="223"/>
      <c r="H220" s="223">
        <f t="shared" si="382"/>
        <v>0.2</v>
      </c>
      <c r="I220" s="559">
        <f t="shared" si="383"/>
        <v>48</v>
      </c>
      <c r="J220" s="454">
        <f t="shared" si="384"/>
        <v>15.899999999999999</v>
      </c>
      <c r="K220" s="454">
        <f t="shared" si="385"/>
        <v>63.9</v>
      </c>
      <c r="L220" s="454"/>
      <c r="M220" s="223">
        <f t="shared" si="386"/>
        <v>0.24882629107981219</v>
      </c>
      <c r="N220" s="178">
        <f t="shared" si="387"/>
        <v>8.0619718309859145</v>
      </c>
      <c r="O220" s="178">
        <f t="shared" si="339"/>
        <v>0.2</v>
      </c>
      <c r="P220" s="223">
        <f t="shared" si="388"/>
        <v>1.6123943661971829</v>
      </c>
      <c r="Q220" s="223">
        <f t="shared" si="389"/>
        <v>5</v>
      </c>
      <c r="R220" s="223"/>
      <c r="S220" s="178">
        <f t="shared" si="390"/>
        <v>794.00604301080443</v>
      </c>
      <c r="T220" s="178">
        <f t="shared" si="391"/>
        <v>5</v>
      </c>
      <c r="U220" s="223">
        <f t="shared" si="392"/>
        <v>3.7211740041928724E-2</v>
      </c>
      <c r="V220" s="223">
        <f t="shared" si="393"/>
        <v>2.3257337526205454E-2</v>
      </c>
      <c r="W220" s="223">
        <f t="shared" si="394"/>
        <v>7.0210830267790056E-2</v>
      </c>
      <c r="X220" s="203">
        <f t="shared" si="395"/>
        <v>350</v>
      </c>
      <c r="Y220" s="454">
        <f t="shared" si="396"/>
        <v>350</v>
      </c>
      <c r="AA220" s="223">
        <f t="shared" si="397"/>
        <v>1.1374916163648559</v>
      </c>
      <c r="AB220" s="179">
        <f t="shared" si="398"/>
        <v>2.1462105969148224</v>
      </c>
      <c r="AC220" s="179">
        <f t="shared" si="399"/>
        <v>1.2816806944956125</v>
      </c>
      <c r="AD220" s="179"/>
      <c r="AE220" s="179">
        <f t="shared" si="400"/>
        <v>0.5660377358490567</v>
      </c>
      <c r="AF220" s="563">
        <f t="shared" si="401"/>
        <v>157.03703703703701</v>
      </c>
      <c r="AG220" s="546">
        <f t="shared" si="402"/>
        <v>8.9150943396226423E-2</v>
      </c>
      <c r="AI220" s="179">
        <f t="shared" si="403"/>
        <v>0.20095012411280661</v>
      </c>
      <c r="AJ220" s="179">
        <f t="shared" si="404"/>
        <v>0.3</v>
      </c>
      <c r="AK220" s="179">
        <f t="shared" si="405"/>
        <v>1.0897354497354497</v>
      </c>
      <c r="AM220" s="563">
        <f t="shared" si="406"/>
        <v>40</v>
      </c>
      <c r="AN220" s="472">
        <f t="shared" si="407"/>
        <v>157.03703703703701</v>
      </c>
      <c r="AP220">
        <f t="shared" si="408"/>
        <v>40</v>
      </c>
      <c r="AQ220">
        <f t="shared" si="409"/>
        <v>157.03703703703701</v>
      </c>
      <c r="AS220" s="6">
        <f t="shared" si="340"/>
        <v>6.3679245283018879</v>
      </c>
      <c r="AT220" s="6">
        <f t="shared" si="410"/>
        <v>0.1875</v>
      </c>
      <c r="AU220" s="6">
        <f t="shared" si="284"/>
        <v>6.1804245283018879</v>
      </c>
      <c r="AV220" s="6"/>
      <c r="AW220" s="179">
        <f t="shared" si="285"/>
        <v>2.944444444444444E-2</v>
      </c>
      <c r="AX220" s="179"/>
      <c r="BA220" s="472">
        <f t="shared" si="334"/>
        <v>0.15</v>
      </c>
      <c r="BB220" s="6">
        <f t="shared" si="335"/>
        <v>2.3844230433263457E-2</v>
      </c>
      <c r="CD220" s="581">
        <f t="shared" si="411"/>
        <v>-50</v>
      </c>
      <c r="CE220">
        <f t="shared" si="412"/>
        <v>-50</v>
      </c>
    </row>
    <row r="221" spans="5:85" x14ac:dyDescent="0.2">
      <c r="E221" s="176">
        <v>5</v>
      </c>
      <c r="F221" s="223">
        <f t="shared" si="413"/>
        <v>0.05</v>
      </c>
      <c r="G221" s="223"/>
      <c r="H221" s="223">
        <f t="shared" si="382"/>
        <v>0.25</v>
      </c>
      <c r="I221" s="559">
        <f t="shared" si="383"/>
        <v>48</v>
      </c>
      <c r="J221" s="454">
        <f t="shared" si="384"/>
        <v>15.899999999999999</v>
      </c>
      <c r="K221" s="454">
        <f t="shared" si="385"/>
        <v>63.9</v>
      </c>
      <c r="L221" s="454"/>
      <c r="M221" s="223">
        <f t="shared" si="386"/>
        <v>0.24882629107981219</v>
      </c>
      <c r="N221" s="178">
        <f t="shared" si="387"/>
        <v>8.0619718309859145</v>
      </c>
      <c r="O221" s="178">
        <f t="shared" si="339"/>
        <v>0.25</v>
      </c>
      <c r="P221" s="223">
        <f t="shared" si="388"/>
        <v>1.6123943661971829</v>
      </c>
      <c r="Q221" s="223">
        <f t="shared" si="389"/>
        <v>5</v>
      </c>
      <c r="R221" s="223"/>
      <c r="S221" s="178">
        <f t="shared" si="390"/>
        <v>632.00759124208923</v>
      </c>
      <c r="T221" s="178">
        <f t="shared" si="391"/>
        <v>5</v>
      </c>
      <c r="U221" s="223">
        <f t="shared" si="392"/>
        <v>4.65146750524109E-2</v>
      </c>
      <c r="V221" s="223">
        <f t="shared" si="393"/>
        <v>2.9071671907756814E-2</v>
      </c>
      <c r="W221" s="223">
        <f t="shared" si="394"/>
        <v>8.7763537834737559E-2</v>
      </c>
      <c r="X221" s="203">
        <f t="shared" si="395"/>
        <v>350</v>
      </c>
      <c r="Y221" s="454">
        <f t="shared" si="396"/>
        <v>350</v>
      </c>
      <c r="AA221" s="223">
        <f t="shared" si="397"/>
        <v>1.1374916163648559</v>
      </c>
      <c r="AB221" s="179">
        <f t="shared" si="398"/>
        <v>2.1462105969148224</v>
      </c>
      <c r="AC221" s="179">
        <f t="shared" si="399"/>
        <v>1.2816806944956125</v>
      </c>
      <c r="AD221" s="179"/>
      <c r="AE221" s="179">
        <f t="shared" si="400"/>
        <v>0.5660377358490567</v>
      </c>
      <c r="AF221" s="563">
        <f t="shared" si="401"/>
        <v>196.29629629629628</v>
      </c>
      <c r="AG221" s="546">
        <f t="shared" si="402"/>
        <v>8.9150943396226423E-2</v>
      </c>
      <c r="AI221" s="179">
        <f t="shared" si="403"/>
        <v>0.2246690688016276</v>
      </c>
      <c r="AJ221" s="179">
        <f t="shared" si="404"/>
        <v>0.3</v>
      </c>
      <c r="AK221" s="179">
        <f t="shared" si="405"/>
        <v>1.1121693121693121</v>
      </c>
      <c r="AM221" s="563">
        <f t="shared" si="406"/>
        <v>50</v>
      </c>
      <c r="AN221" s="472">
        <f t="shared" si="407"/>
        <v>196.29629629629628</v>
      </c>
      <c r="AP221">
        <f t="shared" si="408"/>
        <v>50</v>
      </c>
      <c r="AQ221">
        <f t="shared" si="409"/>
        <v>196.29629629629628</v>
      </c>
      <c r="AS221" s="6">
        <f t="shared" si="340"/>
        <v>5.0943396226415105</v>
      </c>
      <c r="AT221" s="6">
        <f t="shared" si="410"/>
        <v>0.1875</v>
      </c>
      <c r="AU221" s="6">
        <f t="shared" si="284"/>
        <v>4.9068396226415105</v>
      </c>
      <c r="AV221" s="6"/>
      <c r="AW221" s="179">
        <f t="shared" si="285"/>
        <v>3.680555555555555E-2</v>
      </c>
      <c r="AX221" s="179"/>
      <c r="BA221" s="472">
        <f t="shared" si="334"/>
        <v>0.18750000000000003</v>
      </c>
      <c r="BB221" s="6">
        <f t="shared" si="335"/>
        <v>2.3663385525856048E-2</v>
      </c>
      <c r="CD221" s="581">
        <f t="shared" si="411"/>
        <v>-50</v>
      </c>
      <c r="CE221">
        <f t="shared" si="412"/>
        <v>-50</v>
      </c>
    </row>
    <row r="222" spans="5:85" x14ac:dyDescent="0.2">
      <c r="E222" s="176">
        <v>6</v>
      </c>
      <c r="F222" s="223">
        <f t="shared" si="413"/>
        <v>0.06</v>
      </c>
      <c r="G222" s="223"/>
      <c r="H222" s="223">
        <f t="shared" si="382"/>
        <v>0.3</v>
      </c>
      <c r="I222" s="559">
        <f t="shared" si="383"/>
        <v>48</v>
      </c>
      <c r="J222" s="454">
        <f t="shared" si="384"/>
        <v>15.899999999999999</v>
      </c>
      <c r="K222" s="454">
        <f t="shared" si="385"/>
        <v>63.9</v>
      </c>
      <c r="L222" s="454"/>
      <c r="M222" s="223">
        <f t="shared" si="386"/>
        <v>0.24882629107981219</v>
      </c>
      <c r="N222" s="178">
        <f t="shared" si="387"/>
        <v>8.0619718309859145</v>
      </c>
      <c r="O222" s="178">
        <f t="shared" si="339"/>
        <v>0.3</v>
      </c>
      <c r="P222" s="223">
        <f t="shared" si="388"/>
        <v>1.6123943661971829</v>
      </c>
      <c r="Q222" s="223">
        <f t="shared" si="389"/>
        <v>5</v>
      </c>
      <c r="R222" s="223"/>
      <c r="S222" s="178">
        <f t="shared" si="390"/>
        <v>524.00915490403918</v>
      </c>
      <c r="T222" s="178">
        <f t="shared" si="391"/>
        <v>5</v>
      </c>
      <c r="U222" s="223">
        <f t="shared" si="392"/>
        <v>5.5817610062893083E-2</v>
      </c>
      <c r="V222" s="223">
        <f t="shared" si="393"/>
        <v>3.4886006289308179E-2</v>
      </c>
      <c r="W222" s="223">
        <f t="shared" si="394"/>
        <v>0.10531624540168508</v>
      </c>
      <c r="X222" s="203">
        <f t="shared" si="395"/>
        <v>350</v>
      </c>
      <c r="Y222" s="454">
        <f t="shared" si="396"/>
        <v>350</v>
      </c>
      <c r="AA222" s="223">
        <f t="shared" si="397"/>
        <v>1.1374916163648559</v>
      </c>
      <c r="AB222" s="179">
        <f t="shared" si="398"/>
        <v>2.1462105969148224</v>
      </c>
      <c r="AC222" s="179">
        <f t="shared" si="399"/>
        <v>1.2816806944956125</v>
      </c>
      <c r="AD222" s="179"/>
      <c r="AE222" s="179">
        <f t="shared" si="400"/>
        <v>0.5660377358490567</v>
      </c>
      <c r="AF222" s="563">
        <f t="shared" si="401"/>
        <v>235.55555555555551</v>
      </c>
      <c r="AG222" s="546">
        <f t="shared" si="402"/>
        <v>8.9150943396226423E-2</v>
      </c>
      <c r="AI222" s="179">
        <f t="shared" si="403"/>
        <v>0.24611263391266316</v>
      </c>
      <c r="AJ222" s="179">
        <f t="shared" si="404"/>
        <v>0.3</v>
      </c>
      <c r="AK222" s="179">
        <f t="shared" si="405"/>
        <v>1.1346031746031746</v>
      </c>
      <c r="AM222" s="563">
        <f t="shared" si="406"/>
        <v>60</v>
      </c>
      <c r="AN222" s="472">
        <f t="shared" si="407"/>
        <v>235.55555555555551</v>
      </c>
      <c r="AP222">
        <f t="shared" si="408"/>
        <v>60</v>
      </c>
      <c r="AQ222">
        <f t="shared" si="409"/>
        <v>235.55555555555551</v>
      </c>
      <c r="AS222" s="6">
        <f t="shared" si="340"/>
        <v>4.2452830188679256</v>
      </c>
      <c r="AT222" s="6">
        <f t="shared" si="410"/>
        <v>0.1875</v>
      </c>
      <c r="AU222" s="6">
        <f t="shared" si="284"/>
        <v>4.0577830188679256</v>
      </c>
      <c r="AV222" s="6"/>
      <c r="AW222" s="179">
        <f t="shared" si="285"/>
        <v>4.4166666666666653E-2</v>
      </c>
      <c r="AX222" s="179"/>
      <c r="BA222" s="472">
        <f t="shared" si="334"/>
        <v>0.22500000000000001</v>
      </c>
      <c r="BB222" s="6">
        <f t="shared" si="335"/>
        <v>2.3482540618448639E-2</v>
      </c>
      <c r="CD222" s="581">
        <f t="shared" si="411"/>
        <v>-50</v>
      </c>
      <c r="CE222">
        <f t="shared" si="412"/>
        <v>-50</v>
      </c>
    </row>
    <row r="223" spans="5:85" x14ac:dyDescent="0.2">
      <c r="E223" s="176">
        <v>7</v>
      </c>
      <c r="F223" s="223">
        <f t="shared" si="413"/>
        <v>7.0000000000000007E-2</v>
      </c>
      <c r="G223" s="223"/>
      <c r="H223" s="223">
        <f t="shared" si="382"/>
        <v>0.35000000000000003</v>
      </c>
      <c r="I223" s="559">
        <f t="shared" si="383"/>
        <v>48</v>
      </c>
      <c r="J223" s="454">
        <f t="shared" si="384"/>
        <v>15.899999999999999</v>
      </c>
      <c r="K223" s="454">
        <f t="shared" si="385"/>
        <v>63.9</v>
      </c>
      <c r="L223" s="454"/>
      <c r="M223" s="223">
        <f t="shared" si="386"/>
        <v>0.24882629107981219</v>
      </c>
      <c r="N223" s="178">
        <f t="shared" si="387"/>
        <v>8.0619718309859145</v>
      </c>
      <c r="O223" s="178">
        <f t="shared" si="339"/>
        <v>0.35000000000000003</v>
      </c>
      <c r="P223" s="223">
        <f t="shared" si="388"/>
        <v>1.6123943661971829</v>
      </c>
      <c r="Q223" s="223">
        <f t="shared" si="389"/>
        <v>5</v>
      </c>
      <c r="R223" s="223"/>
      <c r="S223" s="178">
        <f t="shared" si="390"/>
        <v>446.86787708078913</v>
      </c>
      <c r="T223" s="178">
        <f t="shared" si="391"/>
        <v>5</v>
      </c>
      <c r="U223" s="223">
        <f t="shared" si="392"/>
        <v>6.5120545073375266E-2</v>
      </c>
      <c r="V223" s="223">
        <f t="shared" si="393"/>
        <v>4.0700340670859543E-2</v>
      </c>
      <c r="W223" s="223">
        <f t="shared" si="394"/>
        <v>0.12286895296863257</v>
      </c>
      <c r="X223" s="203">
        <f t="shared" si="395"/>
        <v>350</v>
      </c>
      <c r="Y223" s="454">
        <f t="shared" si="396"/>
        <v>350</v>
      </c>
      <c r="AA223" s="223">
        <f t="shared" si="397"/>
        <v>1.1374916163648559</v>
      </c>
      <c r="AB223" s="179">
        <f t="shared" si="398"/>
        <v>2.1462105969148224</v>
      </c>
      <c r="AC223" s="179">
        <f t="shared" si="399"/>
        <v>1.2816806944956125</v>
      </c>
      <c r="AD223" s="179"/>
      <c r="AE223" s="179">
        <f t="shared" si="400"/>
        <v>0.5660377358490567</v>
      </c>
      <c r="AF223" s="563">
        <f t="shared" si="401"/>
        <v>274.81481481481478</v>
      </c>
      <c r="AG223" s="546">
        <f t="shared" si="402"/>
        <v>8.9150943396226423E-2</v>
      </c>
      <c r="AI223" s="179">
        <f t="shared" si="403"/>
        <v>0.26583202716502513</v>
      </c>
      <c r="AJ223" s="179">
        <f t="shared" si="404"/>
        <v>0.3</v>
      </c>
      <c r="AK223" s="179">
        <f t="shared" si="405"/>
        <v>1.1570370370370371</v>
      </c>
      <c r="AM223" s="563">
        <f t="shared" si="406"/>
        <v>70</v>
      </c>
      <c r="AN223" s="472">
        <f t="shared" si="407"/>
        <v>274.81481481481478</v>
      </c>
      <c r="AP223">
        <f t="shared" si="408"/>
        <v>70</v>
      </c>
      <c r="AQ223">
        <f t="shared" si="409"/>
        <v>274.81481481481478</v>
      </c>
      <c r="AS223" s="6">
        <f t="shared" si="340"/>
        <v>3.6388140161725073</v>
      </c>
      <c r="AT223" s="6">
        <f t="shared" si="410"/>
        <v>0.1875</v>
      </c>
      <c r="AU223" s="6">
        <f t="shared" si="284"/>
        <v>3.4513140161725073</v>
      </c>
      <c r="AV223" s="6"/>
      <c r="AW223" s="179">
        <f t="shared" si="285"/>
        <v>5.152777777777777E-2</v>
      </c>
      <c r="AX223" s="179"/>
      <c r="BA223" s="472">
        <f t="shared" si="334"/>
        <v>0.26250000000000001</v>
      </c>
      <c r="BB223" s="6">
        <f t="shared" si="335"/>
        <v>2.330169571104123E-2</v>
      </c>
      <c r="CD223" s="581">
        <f t="shared" si="411"/>
        <v>-50</v>
      </c>
      <c r="CE223">
        <f t="shared" si="412"/>
        <v>-50</v>
      </c>
    </row>
    <row r="224" spans="5:85" x14ac:dyDescent="0.2">
      <c r="E224" s="176">
        <v>8</v>
      </c>
      <c r="F224" s="223">
        <f t="shared" si="413"/>
        <v>0.08</v>
      </c>
      <c r="G224" s="223"/>
      <c r="H224" s="223">
        <f t="shared" si="382"/>
        <v>0.4</v>
      </c>
      <c r="I224" s="559">
        <f t="shared" si="383"/>
        <v>48</v>
      </c>
      <c r="J224" s="454">
        <f t="shared" si="384"/>
        <v>15.899999999999999</v>
      </c>
      <c r="K224" s="454">
        <f t="shared" si="385"/>
        <v>63.9</v>
      </c>
      <c r="L224" s="454"/>
      <c r="M224" s="223">
        <f t="shared" si="386"/>
        <v>0.24882629107981219</v>
      </c>
      <c r="N224" s="178">
        <f t="shared" si="387"/>
        <v>8.0619718309859145</v>
      </c>
      <c r="O224" s="178">
        <f t="shared" si="339"/>
        <v>0.4</v>
      </c>
      <c r="P224" s="223">
        <f t="shared" si="388"/>
        <v>1.6123943661971829</v>
      </c>
      <c r="Q224" s="223">
        <f t="shared" si="389"/>
        <v>5</v>
      </c>
      <c r="R224" s="223"/>
      <c r="S224" s="178">
        <f t="shared" si="390"/>
        <v>389.01232943227615</v>
      </c>
      <c r="T224" s="178">
        <f t="shared" si="391"/>
        <v>5</v>
      </c>
      <c r="U224" s="223">
        <f t="shared" si="392"/>
        <v>7.4423480083857449E-2</v>
      </c>
      <c r="V224" s="223">
        <f t="shared" si="393"/>
        <v>4.6514675052410907E-2</v>
      </c>
      <c r="W224" s="223">
        <f t="shared" si="394"/>
        <v>0.14042166053558011</v>
      </c>
      <c r="X224" s="203">
        <f t="shared" si="395"/>
        <v>350</v>
      </c>
      <c r="Y224" s="454">
        <f t="shared" si="396"/>
        <v>350</v>
      </c>
      <c r="AA224" s="223">
        <f t="shared" si="397"/>
        <v>1.1374916163648559</v>
      </c>
      <c r="AB224" s="179">
        <f t="shared" si="398"/>
        <v>2.1462105969148224</v>
      </c>
      <c r="AC224" s="179">
        <f t="shared" si="399"/>
        <v>1.2816806944956125</v>
      </c>
      <c r="AD224" s="179"/>
      <c r="AE224" s="179">
        <f t="shared" si="400"/>
        <v>0.5660377358490567</v>
      </c>
      <c r="AF224" s="563">
        <f t="shared" si="401"/>
        <v>314.07407407407402</v>
      </c>
      <c r="AG224" s="546">
        <f t="shared" si="402"/>
        <v>8.9150943396226423E-2</v>
      </c>
      <c r="AI224" s="179">
        <f t="shared" si="403"/>
        <v>0.28418639088088782</v>
      </c>
      <c r="AJ224" s="179">
        <f t="shared" si="404"/>
        <v>0.3</v>
      </c>
      <c r="AK224" s="179">
        <f t="shared" si="405"/>
        <v>1.1794708994708993</v>
      </c>
      <c r="AM224" s="563">
        <f t="shared" si="406"/>
        <v>80</v>
      </c>
      <c r="AN224" s="472">
        <f t="shared" si="407"/>
        <v>314.07407407407402</v>
      </c>
      <c r="AP224">
        <f t="shared" si="408"/>
        <v>80</v>
      </c>
      <c r="AQ224">
        <f t="shared" si="409"/>
        <v>314.07407407407402</v>
      </c>
      <c r="AS224" s="6">
        <f t="shared" si="340"/>
        <v>3.183962264150944</v>
      </c>
      <c r="AT224" s="6">
        <f t="shared" si="410"/>
        <v>0.1875</v>
      </c>
      <c r="AU224" s="6">
        <f t="shared" si="284"/>
        <v>2.996462264150944</v>
      </c>
      <c r="AV224" s="6"/>
      <c r="AW224" s="179">
        <f t="shared" si="285"/>
        <v>5.888888888888888E-2</v>
      </c>
      <c r="AX224" s="179"/>
      <c r="BA224" s="472">
        <f t="shared" si="334"/>
        <v>0.3</v>
      </c>
      <c r="BB224" s="6">
        <f t="shared" si="335"/>
        <v>2.3120850803633828E-2</v>
      </c>
      <c r="CD224" s="581">
        <f t="shared" si="411"/>
        <v>-50</v>
      </c>
      <c r="CE224">
        <f t="shared" si="412"/>
        <v>-50</v>
      </c>
    </row>
    <row r="225" spans="5:83" x14ac:dyDescent="0.2">
      <c r="E225" s="176">
        <v>9</v>
      </c>
      <c r="F225" s="223">
        <f t="shared" si="413"/>
        <v>0.09</v>
      </c>
      <c r="G225" s="223"/>
      <c r="H225" s="223">
        <f t="shared" si="382"/>
        <v>0.44999999999999996</v>
      </c>
      <c r="I225" s="559">
        <f t="shared" si="383"/>
        <v>48</v>
      </c>
      <c r="J225" s="454">
        <f t="shared" si="384"/>
        <v>15.899999999999999</v>
      </c>
      <c r="K225" s="454">
        <f t="shared" si="385"/>
        <v>63.9</v>
      </c>
      <c r="L225" s="454"/>
      <c r="M225" s="223">
        <f t="shared" si="386"/>
        <v>0.24882629107981219</v>
      </c>
      <c r="N225" s="178">
        <f t="shared" si="387"/>
        <v>8.0619718309859145</v>
      </c>
      <c r="O225" s="178">
        <f t="shared" si="339"/>
        <v>0.44999999999999996</v>
      </c>
      <c r="P225" s="223">
        <f t="shared" si="388"/>
        <v>1.6123943661971829</v>
      </c>
      <c r="Q225" s="223">
        <f t="shared" si="389"/>
        <v>5</v>
      </c>
      <c r="R225" s="223"/>
      <c r="S225" s="178">
        <f t="shared" si="390"/>
        <v>344.01394076577128</v>
      </c>
      <c r="T225" s="178">
        <f t="shared" si="391"/>
        <v>5</v>
      </c>
      <c r="U225" s="223">
        <f t="shared" si="392"/>
        <v>8.3726415094339618E-2</v>
      </c>
      <c r="V225" s="223">
        <f t="shared" si="393"/>
        <v>5.2329009433962258E-2</v>
      </c>
      <c r="W225" s="223">
        <f t="shared" si="394"/>
        <v>0.1579743681025276</v>
      </c>
      <c r="X225" s="203">
        <f t="shared" si="395"/>
        <v>350</v>
      </c>
      <c r="Y225" s="454">
        <f t="shared" si="396"/>
        <v>350</v>
      </c>
      <c r="AA225" s="223">
        <f t="shared" si="397"/>
        <v>1.1374916163648559</v>
      </c>
      <c r="AB225" s="179">
        <f t="shared" si="398"/>
        <v>2.1462105969148224</v>
      </c>
      <c r="AC225" s="179">
        <f t="shared" si="399"/>
        <v>1.2816806944956125</v>
      </c>
      <c r="AD225" s="179"/>
      <c r="AE225" s="179">
        <f t="shared" si="400"/>
        <v>0.5660377358490567</v>
      </c>
      <c r="AF225" s="563">
        <f t="shared" si="401"/>
        <v>353.33333333333326</v>
      </c>
      <c r="AG225" s="546">
        <f t="shared" si="402"/>
        <v>8.9150943396226423E-2</v>
      </c>
      <c r="AI225" s="179">
        <f t="shared" si="403"/>
        <v>0.30142518616920988</v>
      </c>
      <c r="AJ225" s="179">
        <f t="shared" si="404"/>
        <v>0.30142518616920988</v>
      </c>
      <c r="AK225" s="179">
        <f t="shared" si="405"/>
        <v>1.201055693458674</v>
      </c>
      <c r="AM225" s="563">
        <f t="shared" si="406"/>
        <v>90</v>
      </c>
      <c r="AN225" s="472">
        <f t="shared" si="407"/>
        <v>350</v>
      </c>
      <c r="AP225">
        <f t="shared" si="408"/>
        <v>90</v>
      </c>
      <c r="AQ225">
        <f t="shared" si="409"/>
        <v>350</v>
      </c>
      <c r="AS225" s="6">
        <f t="shared" si="340"/>
        <v>2.8571428571428572</v>
      </c>
      <c r="AT225" s="6">
        <f t="shared" si="410"/>
        <v>0.1883907413557562</v>
      </c>
      <c r="AU225" s="6">
        <f t="shared" si="284"/>
        <v>2.6687521157871008</v>
      </c>
      <c r="AV225" s="6"/>
      <c r="AW225" s="179">
        <f t="shared" si="285"/>
        <v>6.5936759474514675E-2</v>
      </c>
      <c r="AX225" s="179"/>
      <c r="BA225" s="472">
        <f t="shared" si="334"/>
        <v>0.33910333444036111</v>
      </c>
      <c r="BB225" s="6">
        <f t="shared" si="335"/>
        <v>2.3166251005096356E-2</v>
      </c>
      <c r="CD225" s="581">
        <f t="shared" si="411"/>
        <v>-50</v>
      </c>
      <c r="CE225">
        <f t="shared" si="412"/>
        <v>-50</v>
      </c>
    </row>
    <row r="226" spans="5:83" x14ac:dyDescent="0.2">
      <c r="E226" s="176">
        <v>10</v>
      </c>
      <c r="F226" s="223">
        <f t="shared" si="413"/>
        <v>0.1</v>
      </c>
      <c r="G226" s="223"/>
      <c r="H226" s="223">
        <f t="shared" si="382"/>
        <v>0.5</v>
      </c>
      <c r="I226" s="559">
        <f t="shared" si="383"/>
        <v>48</v>
      </c>
      <c r="J226" s="454">
        <f t="shared" si="384"/>
        <v>15.899999999999999</v>
      </c>
      <c r="K226" s="454">
        <f t="shared" si="385"/>
        <v>63.9</v>
      </c>
      <c r="L226" s="454"/>
      <c r="M226" s="223">
        <f t="shared" si="386"/>
        <v>0.24882629107981219</v>
      </c>
      <c r="N226" s="178">
        <f t="shared" si="387"/>
        <v>8.0619718309859145</v>
      </c>
      <c r="O226" s="178">
        <f t="shared" si="339"/>
        <v>0.5</v>
      </c>
      <c r="P226" s="223">
        <f t="shared" si="388"/>
        <v>1.6123943661971829</v>
      </c>
      <c r="Q226" s="223">
        <f t="shared" si="389"/>
        <v>5</v>
      </c>
      <c r="R226" s="223"/>
      <c r="S226" s="178">
        <f t="shared" si="390"/>
        <v>308.01556846455691</v>
      </c>
      <c r="T226" s="178">
        <f t="shared" si="391"/>
        <v>5</v>
      </c>
      <c r="U226" s="223">
        <f t="shared" si="392"/>
        <v>9.3029350104821801E-2</v>
      </c>
      <c r="V226" s="223">
        <f t="shared" si="393"/>
        <v>5.8143343815513629E-2</v>
      </c>
      <c r="W226" s="223">
        <f t="shared" si="394"/>
        <v>0.17552707566947512</v>
      </c>
      <c r="X226" s="203">
        <f t="shared" si="395"/>
        <v>350</v>
      </c>
      <c r="Y226" s="454">
        <f t="shared" si="396"/>
        <v>350</v>
      </c>
      <c r="AA226" s="223">
        <f t="shared" si="397"/>
        <v>1.1374916163648559</v>
      </c>
      <c r="AB226" s="179">
        <f t="shared" si="398"/>
        <v>2.1462105969148224</v>
      </c>
      <c r="AC226" s="179">
        <f t="shared" si="399"/>
        <v>1.2816806944956125</v>
      </c>
      <c r="AD226" s="179"/>
      <c r="AE226" s="179">
        <f t="shared" si="400"/>
        <v>0.5660377358490567</v>
      </c>
      <c r="AF226" s="563">
        <f t="shared" si="401"/>
        <v>392.59259259259255</v>
      </c>
      <c r="AG226" s="546">
        <f t="shared" si="402"/>
        <v>8.9150943396226423E-2</v>
      </c>
      <c r="AI226" s="179">
        <f t="shared" si="403"/>
        <v>0.31773004414499573</v>
      </c>
      <c r="AJ226" s="179">
        <f t="shared" si="404"/>
        <v>0.31773004414499573</v>
      </c>
      <c r="AK226" s="179">
        <f t="shared" si="405"/>
        <v>1.2131333660333301</v>
      </c>
      <c r="AM226" s="563">
        <f t="shared" si="406"/>
        <v>100</v>
      </c>
      <c r="AN226" s="472">
        <f t="shared" si="407"/>
        <v>350</v>
      </c>
      <c r="AP226">
        <f t="shared" si="408"/>
        <v>100</v>
      </c>
      <c r="AQ226">
        <f t="shared" si="409"/>
        <v>350</v>
      </c>
      <c r="AS226" s="6">
        <f t="shared" si="340"/>
        <v>2.8571428571428572</v>
      </c>
      <c r="AT226" s="6">
        <f t="shared" si="410"/>
        <v>0.19858127759062233</v>
      </c>
      <c r="AU226" s="6">
        <f t="shared" si="284"/>
        <v>2.6585615795522348</v>
      </c>
      <c r="AV226" s="6"/>
      <c r="AW226" s="179">
        <f t="shared" si="285"/>
        <v>6.9503447156717815E-2</v>
      </c>
      <c r="AX226" s="179"/>
      <c r="BA226" s="472">
        <f t="shared" si="334"/>
        <v>0.39716255518124466</v>
      </c>
      <c r="BB226" s="6">
        <f t="shared" si="335"/>
        <v>2.5641990543520784E-2</v>
      </c>
      <c r="CD226" s="581">
        <f t="shared" si="411"/>
        <v>-50</v>
      </c>
      <c r="CE226">
        <f t="shared" si="412"/>
        <v>-50</v>
      </c>
    </row>
    <row r="227" spans="5:83" x14ac:dyDescent="0.2">
      <c r="E227" s="176">
        <v>11</v>
      </c>
      <c r="F227" s="223">
        <f t="shared" si="413"/>
        <v>0.11</v>
      </c>
      <c r="G227" s="223"/>
      <c r="H227" s="223">
        <f t="shared" si="382"/>
        <v>0.55000000000000004</v>
      </c>
      <c r="I227" s="559">
        <f t="shared" si="383"/>
        <v>48</v>
      </c>
      <c r="J227" s="454">
        <f t="shared" si="384"/>
        <v>15.899999999999999</v>
      </c>
      <c r="K227" s="454">
        <f t="shared" si="385"/>
        <v>63.9</v>
      </c>
      <c r="L227" s="454"/>
      <c r="M227" s="223">
        <f t="shared" si="386"/>
        <v>0.24882629107981219</v>
      </c>
      <c r="N227" s="178">
        <f t="shared" si="387"/>
        <v>8.0619718309859145</v>
      </c>
      <c r="O227" s="178">
        <f t="shared" si="339"/>
        <v>0.55000000000000004</v>
      </c>
      <c r="P227" s="223">
        <f t="shared" si="388"/>
        <v>1.6123943661971829</v>
      </c>
      <c r="Q227" s="223">
        <f t="shared" si="389"/>
        <v>5</v>
      </c>
      <c r="R227" s="223"/>
      <c r="S227" s="178">
        <f t="shared" si="390"/>
        <v>278.56266731920499</v>
      </c>
      <c r="T227" s="178">
        <f t="shared" si="391"/>
        <v>5</v>
      </c>
      <c r="U227" s="223">
        <f t="shared" si="392"/>
        <v>0.102332285115304</v>
      </c>
      <c r="V227" s="223">
        <f t="shared" si="393"/>
        <v>6.3957678197065007E-2</v>
      </c>
      <c r="W227" s="223">
        <f t="shared" si="394"/>
        <v>0.19307978323642266</v>
      </c>
      <c r="X227" s="203">
        <f t="shared" si="395"/>
        <v>350</v>
      </c>
      <c r="Y227" s="454">
        <f t="shared" si="396"/>
        <v>350</v>
      </c>
      <c r="AA227" s="223">
        <f t="shared" si="397"/>
        <v>1.1374916163648559</v>
      </c>
      <c r="AB227" s="179">
        <f t="shared" si="398"/>
        <v>2.1462105969148224</v>
      </c>
      <c r="AC227" s="179">
        <f t="shared" si="399"/>
        <v>1.2816806944956125</v>
      </c>
      <c r="AD227" s="179"/>
      <c r="AE227" s="179">
        <f t="shared" si="400"/>
        <v>0.5660377358490567</v>
      </c>
      <c r="AF227" s="563">
        <f t="shared" si="401"/>
        <v>431.85185185185179</v>
      </c>
      <c r="AG227" s="546">
        <f t="shared" si="402"/>
        <v>8.9150943396226423E-2</v>
      </c>
      <c r="AI227" s="179">
        <f t="shared" si="403"/>
        <v>0.33323808162876439</v>
      </c>
      <c r="AJ227" s="179">
        <f t="shared" si="404"/>
        <v>0.33323808162876439</v>
      </c>
      <c r="AK227" s="179">
        <f t="shared" si="405"/>
        <v>1.2246208012064921</v>
      </c>
      <c r="AM227" s="563">
        <f t="shared" si="406"/>
        <v>110</v>
      </c>
      <c r="AN227" s="472">
        <f t="shared" si="407"/>
        <v>350</v>
      </c>
      <c r="AP227">
        <f t="shared" si="408"/>
        <v>110</v>
      </c>
      <c r="AQ227">
        <f t="shared" si="409"/>
        <v>350</v>
      </c>
      <c r="AS227" s="6">
        <f t="shared" si="340"/>
        <v>2.8571428571428572</v>
      </c>
      <c r="AT227" s="6">
        <f t="shared" si="410"/>
        <v>0.20827380101797777</v>
      </c>
      <c r="AU227" s="6">
        <f t="shared" si="284"/>
        <v>2.6488690561248793</v>
      </c>
      <c r="AV227" s="6"/>
      <c r="AW227" s="179">
        <f t="shared" si="285"/>
        <v>7.2895830356292213E-2</v>
      </c>
      <c r="AX227" s="179"/>
      <c r="BA227" s="472">
        <f t="shared" si="334"/>
        <v>0.45820236223955113</v>
      </c>
      <c r="BB227" s="6">
        <f t="shared" si="335"/>
        <v>2.8103356112436022E-2</v>
      </c>
      <c r="CD227" s="581">
        <f t="shared" si="411"/>
        <v>-50</v>
      </c>
      <c r="CE227">
        <f t="shared" si="412"/>
        <v>-50</v>
      </c>
    </row>
    <row r="228" spans="5:83" x14ac:dyDescent="0.2">
      <c r="E228" s="176">
        <v>12</v>
      </c>
      <c r="F228" s="223">
        <f t="shared" si="413"/>
        <v>0.12</v>
      </c>
      <c r="G228" s="223"/>
      <c r="H228" s="223">
        <f t="shared" si="382"/>
        <v>0.6</v>
      </c>
      <c r="I228" s="559">
        <f t="shared" si="383"/>
        <v>48</v>
      </c>
      <c r="J228" s="454">
        <f t="shared" si="384"/>
        <v>15.899999999999999</v>
      </c>
      <c r="K228" s="454">
        <f t="shared" si="385"/>
        <v>63.9</v>
      </c>
      <c r="L228" s="454"/>
      <c r="M228" s="223">
        <f t="shared" si="386"/>
        <v>0.24882629107981219</v>
      </c>
      <c r="N228" s="178">
        <f t="shared" si="387"/>
        <v>8.0619718309859145</v>
      </c>
      <c r="O228" s="178">
        <f t="shared" si="339"/>
        <v>0.6</v>
      </c>
      <c r="P228" s="223">
        <f t="shared" si="388"/>
        <v>1.6123943661971829</v>
      </c>
      <c r="Q228" s="223">
        <f t="shared" si="389"/>
        <v>5</v>
      </c>
      <c r="R228" s="223"/>
      <c r="S228" s="178">
        <f t="shared" si="390"/>
        <v>254.01887394327275</v>
      </c>
      <c r="T228" s="178">
        <f t="shared" si="391"/>
        <v>5</v>
      </c>
      <c r="U228" s="223">
        <f t="shared" si="392"/>
        <v>0.11163522012578617</v>
      </c>
      <c r="V228" s="223">
        <f t="shared" si="393"/>
        <v>6.9772012578616358E-2</v>
      </c>
      <c r="W228" s="223">
        <f t="shared" si="394"/>
        <v>0.21063249080337015</v>
      </c>
      <c r="X228" s="203">
        <f t="shared" si="395"/>
        <v>350</v>
      </c>
      <c r="Y228" s="454">
        <f t="shared" si="396"/>
        <v>350</v>
      </c>
      <c r="AA228" s="223">
        <f t="shared" si="397"/>
        <v>1.1374916163648559</v>
      </c>
      <c r="AB228" s="179">
        <f t="shared" si="398"/>
        <v>2.1462105969148224</v>
      </c>
      <c r="AC228" s="179">
        <f t="shared" si="399"/>
        <v>1.2816806944956125</v>
      </c>
      <c r="AD228" s="179"/>
      <c r="AE228" s="179">
        <f t="shared" si="400"/>
        <v>0.5660377358490567</v>
      </c>
      <c r="AF228" s="563">
        <f t="shared" si="401"/>
        <v>471.11111111111103</v>
      </c>
      <c r="AG228" s="546">
        <f t="shared" si="402"/>
        <v>8.9150943396226423E-2</v>
      </c>
      <c r="AI228" s="179">
        <f t="shared" si="403"/>
        <v>0.34805582475065278</v>
      </c>
      <c r="AJ228" s="179">
        <f t="shared" si="404"/>
        <v>0.34805582475065278</v>
      </c>
      <c r="AK228" s="179">
        <f t="shared" si="405"/>
        <v>1.2355969072227058</v>
      </c>
      <c r="AM228" s="563">
        <f t="shared" si="406"/>
        <v>120</v>
      </c>
      <c r="AN228" s="472">
        <f t="shared" si="407"/>
        <v>350</v>
      </c>
      <c r="AP228">
        <f t="shared" si="408"/>
        <v>120</v>
      </c>
      <c r="AQ228">
        <f t="shared" si="409"/>
        <v>350</v>
      </c>
      <c r="AS228" s="6">
        <f t="shared" si="340"/>
        <v>2.8571428571428572</v>
      </c>
      <c r="AT228" s="6">
        <f t="shared" si="410"/>
        <v>0.217534890469158</v>
      </c>
      <c r="AU228" s="6">
        <f t="shared" si="284"/>
        <v>2.6396079666736991</v>
      </c>
      <c r="AV228" s="6"/>
      <c r="AW228" s="179">
        <f t="shared" si="285"/>
        <v>7.6137211664205298E-2</v>
      </c>
      <c r="AX228" s="179"/>
      <c r="BA228" s="472">
        <f t="shared" si="334"/>
        <v>0.52208373712597922</v>
      </c>
      <c r="BB228" s="6">
        <f t="shared" si="335"/>
        <v>3.0551018132797439E-2</v>
      </c>
      <c r="CD228" s="581">
        <f t="shared" si="411"/>
        <v>-50</v>
      </c>
      <c r="CE228">
        <f t="shared" si="412"/>
        <v>-50</v>
      </c>
    </row>
    <row r="229" spans="5:83" x14ac:dyDescent="0.2">
      <c r="E229" s="176">
        <v>13</v>
      </c>
      <c r="F229" s="223">
        <f t="shared" si="413"/>
        <v>0.13</v>
      </c>
      <c r="G229" s="223"/>
      <c r="H229" s="223">
        <f t="shared" si="382"/>
        <v>0.65</v>
      </c>
      <c r="I229" s="559">
        <f t="shared" si="383"/>
        <v>48</v>
      </c>
      <c r="J229" s="454">
        <f t="shared" si="384"/>
        <v>15.899999999999999</v>
      </c>
      <c r="K229" s="454">
        <f t="shared" si="385"/>
        <v>63.9</v>
      </c>
      <c r="L229" s="454"/>
      <c r="M229" s="223">
        <f t="shared" si="386"/>
        <v>0.24882629107981219</v>
      </c>
      <c r="N229" s="178">
        <f t="shared" si="387"/>
        <v>8.0619718309859145</v>
      </c>
      <c r="O229" s="178">
        <f t="shared" si="339"/>
        <v>0.65</v>
      </c>
      <c r="P229" s="223">
        <f t="shared" si="388"/>
        <v>1.6123943661971829</v>
      </c>
      <c r="Q229" s="223">
        <f t="shared" si="389"/>
        <v>5</v>
      </c>
      <c r="R229" s="223"/>
      <c r="S229" s="178">
        <f t="shared" si="390"/>
        <v>233.25132145873357</v>
      </c>
      <c r="T229" s="178">
        <f t="shared" si="391"/>
        <v>5</v>
      </c>
      <c r="U229" s="223">
        <f t="shared" si="392"/>
        <v>0.12093815513626835</v>
      </c>
      <c r="V229" s="223">
        <f t="shared" si="393"/>
        <v>7.5586346960167722E-2</v>
      </c>
      <c r="W229" s="223">
        <f t="shared" si="394"/>
        <v>0.22818519837031764</v>
      </c>
      <c r="X229" s="203">
        <f t="shared" si="395"/>
        <v>350</v>
      </c>
      <c r="Y229" s="454">
        <f t="shared" si="396"/>
        <v>350</v>
      </c>
      <c r="AA229" s="223">
        <f t="shared" si="397"/>
        <v>1.1374916163648559</v>
      </c>
      <c r="AB229" s="179">
        <f t="shared" si="398"/>
        <v>2.1462105969148224</v>
      </c>
      <c r="AC229" s="179">
        <f t="shared" si="399"/>
        <v>1.2816806944956125</v>
      </c>
      <c r="AD229" s="179"/>
      <c r="AE229" s="179">
        <f t="shared" si="400"/>
        <v>0.5660377358490567</v>
      </c>
      <c r="AF229" s="563">
        <f t="shared" si="401"/>
        <v>510.37037037037027</v>
      </c>
      <c r="AG229" s="546">
        <f t="shared" si="402"/>
        <v>8.9150943396226423E-2</v>
      </c>
      <c r="AI229" s="179">
        <f t="shared" si="403"/>
        <v>0.36226798814978839</v>
      </c>
      <c r="AJ229" s="179">
        <f t="shared" si="404"/>
        <v>0.36226798814978839</v>
      </c>
      <c r="AK229" s="179">
        <f t="shared" si="405"/>
        <v>1.24612443566651</v>
      </c>
      <c r="AM229" s="563">
        <f t="shared" si="406"/>
        <v>130</v>
      </c>
      <c r="AN229" s="472">
        <f t="shared" si="407"/>
        <v>350</v>
      </c>
      <c r="AP229">
        <f t="shared" si="408"/>
        <v>130</v>
      </c>
      <c r="AQ229">
        <f t="shared" si="409"/>
        <v>350</v>
      </c>
      <c r="AS229" s="6">
        <f t="shared" si="340"/>
        <v>2.8571428571428572</v>
      </c>
      <c r="AT229" s="6">
        <f t="shared" si="410"/>
        <v>0.22641749259361776</v>
      </c>
      <c r="AU229" s="6">
        <f t="shared" si="284"/>
        <v>2.6307253645492397</v>
      </c>
      <c r="AV229" s="6"/>
      <c r="AW229" s="179">
        <f t="shared" si="285"/>
        <v>7.9246122407766212E-2</v>
      </c>
      <c r="AX229" s="179"/>
      <c r="BA229" s="472">
        <f t="shared" si="334"/>
        <v>0.58868548074340632</v>
      </c>
      <c r="BB229" s="6">
        <f t="shared" si="335"/>
        <v>3.2985561090991614E-2</v>
      </c>
      <c r="CD229" s="581">
        <f t="shared" si="411"/>
        <v>-50</v>
      </c>
      <c r="CE229">
        <f t="shared" si="412"/>
        <v>-50</v>
      </c>
    </row>
    <row r="230" spans="5:83" x14ac:dyDescent="0.2">
      <c r="E230" s="176">
        <v>14</v>
      </c>
      <c r="F230" s="223">
        <f t="shared" si="413"/>
        <v>0.14000000000000001</v>
      </c>
      <c r="G230" s="223"/>
      <c r="H230" s="223">
        <f t="shared" si="382"/>
        <v>0.70000000000000007</v>
      </c>
      <c r="I230" s="559">
        <f t="shared" si="383"/>
        <v>48</v>
      </c>
      <c r="J230" s="454">
        <f t="shared" si="384"/>
        <v>15.899999999999999</v>
      </c>
      <c r="K230" s="454">
        <f t="shared" si="385"/>
        <v>63.9</v>
      </c>
      <c r="L230" s="454"/>
      <c r="M230" s="223">
        <f t="shared" si="386"/>
        <v>0.24882629107981219</v>
      </c>
      <c r="N230" s="178">
        <f t="shared" si="387"/>
        <v>8.0619718309859145</v>
      </c>
      <c r="O230" s="178">
        <f t="shared" si="339"/>
        <v>0.70000000000000007</v>
      </c>
      <c r="P230" s="223">
        <f t="shared" si="388"/>
        <v>1.6123943661971829</v>
      </c>
      <c r="Q230" s="223">
        <f t="shared" si="389"/>
        <v>5</v>
      </c>
      <c r="R230" s="223"/>
      <c r="S230" s="178">
        <f t="shared" si="390"/>
        <v>215.4508193162745</v>
      </c>
      <c r="T230" s="178">
        <f t="shared" si="391"/>
        <v>5</v>
      </c>
      <c r="U230" s="223">
        <f t="shared" si="392"/>
        <v>0.13024109014675053</v>
      </c>
      <c r="V230" s="223">
        <f t="shared" si="393"/>
        <v>8.1400681341719086E-2</v>
      </c>
      <c r="W230" s="223">
        <f t="shared" si="394"/>
        <v>0.24573790593726513</v>
      </c>
      <c r="X230" s="203">
        <f t="shared" si="395"/>
        <v>350</v>
      </c>
      <c r="Y230" s="454">
        <f t="shared" si="396"/>
        <v>350</v>
      </c>
      <c r="AA230" s="223">
        <f t="shared" si="397"/>
        <v>1.1374916163648559</v>
      </c>
      <c r="AB230" s="179">
        <f t="shared" si="398"/>
        <v>2.1462105969148224</v>
      </c>
      <c r="AC230" s="179">
        <f t="shared" si="399"/>
        <v>1.2816806944956125</v>
      </c>
      <c r="AD230" s="179"/>
      <c r="AE230" s="179">
        <f t="shared" si="400"/>
        <v>0.5660377358490567</v>
      </c>
      <c r="AF230" s="563">
        <f t="shared" si="401"/>
        <v>549.62962962962956</v>
      </c>
      <c r="AG230" s="546">
        <f t="shared" si="402"/>
        <v>8.9150943396226423E-2</v>
      </c>
      <c r="AI230" s="179">
        <f t="shared" si="403"/>
        <v>0.37594325812991158</v>
      </c>
      <c r="AJ230" s="179">
        <f t="shared" si="404"/>
        <v>0.37594325812991158</v>
      </c>
      <c r="AK230" s="179">
        <f t="shared" si="405"/>
        <v>1.2562542652814159</v>
      </c>
      <c r="AM230" s="563">
        <f t="shared" si="406"/>
        <v>140</v>
      </c>
      <c r="AN230" s="472">
        <f t="shared" si="407"/>
        <v>350</v>
      </c>
      <c r="AP230">
        <f t="shared" si="408"/>
        <v>140</v>
      </c>
      <c r="AQ230">
        <f t="shared" si="409"/>
        <v>350</v>
      </c>
      <c r="AS230" s="6">
        <f t="shared" si="340"/>
        <v>2.8571428571428572</v>
      </c>
      <c r="AT230" s="6">
        <f t="shared" si="410"/>
        <v>0.23496453633119474</v>
      </c>
      <c r="AU230" s="6">
        <f t="shared" si="284"/>
        <v>2.6221783208116625</v>
      </c>
      <c r="AV230" s="6"/>
      <c r="AW230" s="179">
        <f t="shared" si="285"/>
        <v>8.2237587715918159E-2</v>
      </c>
      <c r="AX230" s="179"/>
      <c r="BA230" s="472">
        <f t="shared" si="334"/>
        <v>0.65790070172734527</v>
      </c>
      <c r="BB230" s="6">
        <f t="shared" si="335"/>
        <v>3.5407500473922902E-2</v>
      </c>
      <c r="CD230" s="581">
        <f t="shared" si="411"/>
        <v>-50</v>
      </c>
      <c r="CE230">
        <f t="shared" si="412"/>
        <v>-50</v>
      </c>
    </row>
    <row r="231" spans="5:83" x14ac:dyDescent="0.2">
      <c r="E231" s="176">
        <v>15</v>
      </c>
      <c r="F231" s="223">
        <f t="shared" si="413"/>
        <v>0.15</v>
      </c>
      <c r="G231" s="223"/>
      <c r="H231" s="223">
        <f t="shared" si="382"/>
        <v>0.75</v>
      </c>
      <c r="I231" s="559">
        <f t="shared" si="383"/>
        <v>48</v>
      </c>
      <c r="J231" s="454">
        <f t="shared" si="384"/>
        <v>15.899999999999999</v>
      </c>
      <c r="K231" s="454">
        <f t="shared" si="385"/>
        <v>63.9</v>
      </c>
      <c r="L231" s="454"/>
      <c r="M231" s="223">
        <f t="shared" si="386"/>
        <v>0.24882629107981219</v>
      </c>
      <c r="N231" s="178">
        <f t="shared" si="387"/>
        <v>8.0619718309859145</v>
      </c>
      <c r="O231" s="178">
        <f t="shared" si="339"/>
        <v>0.75</v>
      </c>
      <c r="P231" s="223">
        <f t="shared" si="388"/>
        <v>1.6123943661971829</v>
      </c>
      <c r="Q231" s="223">
        <f t="shared" si="389"/>
        <v>5</v>
      </c>
      <c r="R231" s="223"/>
      <c r="S231" s="178">
        <f t="shared" si="390"/>
        <v>200.02396118752614</v>
      </c>
      <c r="T231" s="178">
        <f t="shared" si="391"/>
        <v>5</v>
      </c>
      <c r="U231" s="223">
        <f t="shared" si="392"/>
        <v>0.13954402515723272</v>
      </c>
      <c r="V231" s="223">
        <f t="shared" si="393"/>
        <v>8.721501572327045E-2</v>
      </c>
      <c r="W231" s="223">
        <f t="shared" si="394"/>
        <v>0.26329061350421268</v>
      </c>
      <c r="X231" s="203">
        <f t="shared" si="395"/>
        <v>350</v>
      </c>
      <c r="Y231" s="454">
        <f t="shared" si="396"/>
        <v>350</v>
      </c>
      <c r="AA231" s="223">
        <f t="shared" si="397"/>
        <v>1.1374916163648559</v>
      </c>
      <c r="AB231" s="179">
        <f t="shared" si="398"/>
        <v>2.1462105969148224</v>
      </c>
      <c r="AC231" s="179">
        <f t="shared" si="399"/>
        <v>1.2816806944956125</v>
      </c>
      <c r="AD231" s="179"/>
      <c r="AE231" s="179">
        <f t="shared" si="400"/>
        <v>0.5660377358490567</v>
      </c>
      <c r="AF231" s="563">
        <f t="shared" si="401"/>
        <v>588.8888888888888</v>
      </c>
      <c r="AG231" s="546">
        <f t="shared" si="402"/>
        <v>8.9150943396226423E-2</v>
      </c>
      <c r="AI231" s="179">
        <f t="shared" si="403"/>
        <v>0.3891382420536067</v>
      </c>
      <c r="AJ231" s="179">
        <f t="shared" si="404"/>
        <v>0.3891382420536067</v>
      </c>
      <c r="AK231" s="179">
        <f t="shared" si="405"/>
        <v>1.266028327447116</v>
      </c>
      <c r="AM231" s="563">
        <f t="shared" si="406"/>
        <v>150</v>
      </c>
      <c r="AN231" s="472">
        <f t="shared" si="407"/>
        <v>350</v>
      </c>
      <c r="AP231">
        <f t="shared" si="408"/>
        <v>150</v>
      </c>
      <c r="AQ231">
        <f t="shared" si="409"/>
        <v>350</v>
      </c>
      <c r="AS231" s="6">
        <f t="shared" si="340"/>
        <v>2.8571428571428572</v>
      </c>
      <c r="AT231" s="6">
        <f t="shared" si="410"/>
        <v>0.24321140128350421</v>
      </c>
      <c r="AU231" s="6">
        <f t="shared" si="284"/>
        <v>2.6139314558593529</v>
      </c>
      <c r="AV231" s="6"/>
      <c r="AW231" s="179">
        <f t="shared" si="285"/>
        <v>8.5123990449226472E-2</v>
      </c>
      <c r="AX231" s="179"/>
      <c r="BA231" s="472">
        <f t="shared" si="334"/>
        <v>0.72963420385051259</v>
      </c>
      <c r="BB231" s="6">
        <f t="shared" si="335"/>
        <v>3.781729536833553E-2</v>
      </c>
      <c r="CD231" s="581">
        <f t="shared" si="411"/>
        <v>-50</v>
      </c>
      <c r="CE231">
        <f t="shared" si="412"/>
        <v>-50</v>
      </c>
    </row>
    <row r="232" spans="5:83" x14ac:dyDescent="0.2">
      <c r="E232" s="176">
        <v>16</v>
      </c>
      <c r="F232" s="223">
        <f t="shared" si="413"/>
        <v>0.16</v>
      </c>
      <c r="G232" s="223"/>
      <c r="H232" s="223">
        <f t="shared" si="382"/>
        <v>0.8</v>
      </c>
      <c r="I232" s="559">
        <f t="shared" si="383"/>
        <v>48</v>
      </c>
      <c r="J232" s="454">
        <f t="shared" si="384"/>
        <v>15.899999999999999</v>
      </c>
      <c r="K232" s="454">
        <f t="shared" si="385"/>
        <v>63.9</v>
      </c>
      <c r="L232" s="454"/>
      <c r="M232" s="223">
        <f t="shared" si="386"/>
        <v>0.24882629107981219</v>
      </c>
      <c r="N232" s="178">
        <f t="shared" si="387"/>
        <v>8.0619718309859145</v>
      </c>
      <c r="O232" s="178">
        <f t="shared" si="339"/>
        <v>0.8</v>
      </c>
      <c r="P232" s="223">
        <f t="shared" si="388"/>
        <v>1.6123943661971829</v>
      </c>
      <c r="Q232" s="223">
        <f t="shared" si="389"/>
        <v>5</v>
      </c>
      <c r="R232" s="223"/>
      <c r="S232" s="178">
        <f t="shared" si="390"/>
        <v>186.52569239775536</v>
      </c>
      <c r="T232" s="178">
        <f t="shared" si="391"/>
        <v>5</v>
      </c>
      <c r="U232" s="223">
        <f t="shared" si="392"/>
        <v>0.1488469601677149</v>
      </c>
      <c r="V232" s="223">
        <f t="shared" si="393"/>
        <v>9.3029350104821815E-2</v>
      </c>
      <c r="W232" s="223">
        <f t="shared" si="394"/>
        <v>0.28084332107116022</v>
      </c>
      <c r="X232" s="203">
        <f t="shared" si="395"/>
        <v>350</v>
      </c>
      <c r="Y232" s="454">
        <f t="shared" si="396"/>
        <v>350</v>
      </c>
      <c r="AA232" s="223">
        <f t="shared" si="397"/>
        <v>1.1374916163648559</v>
      </c>
      <c r="AB232" s="179">
        <f t="shared" si="398"/>
        <v>2.1462105969148224</v>
      </c>
      <c r="AC232" s="179">
        <f t="shared" si="399"/>
        <v>1.2816806944956125</v>
      </c>
      <c r="AD232" s="179"/>
      <c r="AE232" s="179">
        <f t="shared" si="400"/>
        <v>0.5660377358490567</v>
      </c>
      <c r="AF232" s="563">
        <f t="shared" si="401"/>
        <v>628.14814814814804</v>
      </c>
      <c r="AG232" s="546">
        <f t="shared" si="402"/>
        <v>8.9150943396226423E-2</v>
      </c>
      <c r="AI232" s="179">
        <f t="shared" si="403"/>
        <v>0.40190024822561321</v>
      </c>
      <c r="AJ232" s="179">
        <f t="shared" si="404"/>
        <v>0.40190024822561321</v>
      </c>
      <c r="AK232" s="179">
        <f t="shared" si="405"/>
        <v>1.275481665352306</v>
      </c>
      <c r="AM232" s="563">
        <f t="shared" si="406"/>
        <v>160</v>
      </c>
      <c r="AN232" s="472">
        <f t="shared" si="407"/>
        <v>350</v>
      </c>
      <c r="AP232">
        <f t="shared" si="408"/>
        <v>160</v>
      </c>
      <c r="AQ232">
        <f t="shared" si="409"/>
        <v>350</v>
      </c>
      <c r="AS232" s="6">
        <f t="shared" si="340"/>
        <v>2.8571428571428572</v>
      </c>
      <c r="AT232" s="6">
        <f t="shared" si="410"/>
        <v>0.25118765514100827</v>
      </c>
      <c r="AU232" s="6">
        <f t="shared" si="284"/>
        <v>2.6059552020018488</v>
      </c>
      <c r="AV232" s="6"/>
      <c r="AW232" s="179">
        <f t="shared" si="285"/>
        <v>8.7915679299352886E-2</v>
      </c>
      <c r="AX232" s="179"/>
      <c r="BA232" s="472">
        <f t="shared" si="334"/>
        <v>0.80380049645122642</v>
      </c>
      <c r="BB232" s="6">
        <f t="shared" si="335"/>
        <v>4.0215358055584086E-2</v>
      </c>
      <c r="CD232" s="581">
        <f t="shared" si="411"/>
        <v>-50</v>
      </c>
      <c r="CE232">
        <f t="shared" si="412"/>
        <v>-50</v>
      </c>
    </row>
    <row r="233" spans="5:83" x14ac:dyDescent="0.2">
      <c r="E233" s="176">
        <v>17</v>
      </c>
      <c r="F233" s="223">
        <f t="shared" si="413"/>
        <v>0.17</v>
      </c>
      <c r="G233" s="223"/>
      <c r="H233" s="223">
        <f t="shared" si="382"/>
        <v>0.85000000000000009</v>
      </c>
      <c r="I233" s="559">
        <f t="shared" si="383"/>
        <v>48</v>
      </c>
      <c r="J233" s="454">
        <f t="shared" si="384"/>
        <v>15.899999999999999</v>
      </c>
      <c r="K233" s="454">
        <f t="shared" si="385"/>
        <v>63.9</v>
      </c>
      <c r="L233" s="454"/>
      <c r="M233" s="223">
        <f t="shared" si="386"/>
        <v>0.24882629107981219</v>
      </c>
      <c r="N233" s="178">
        <f t="shared" si="387"/>
        <v>8.0619718309859145</v>
      </c>
      <c r="O233" s="178">
        <f t="shared" si="339"/>
        <v>0.85000000000000009</v>
      </c>
      <c r="P233" s="223">
        <f t="shared" si="388"/>
        <v>1.6123943661971829</v>
      </c>
      <c r="Q233" s="223">
        <f t="shared" si="389"/>
        <v>5</v>
      </c>
      <c r="R233" s="223"/>
      <c r="S233" s="178">
        <f t="shared" si="390"/>
        <v>174.61567708824327</v>
      </c>
      <c r="T233" s="178">
        <f t="shared" si="391"/>
        <v>5</v>
      </c>
      <c r="U233" s="223">
        <f t="shared" si="392"/>
        <v>0.15814989517819708</v>
      </c>
      <c r="V233" s="223">
        <f t="shared" si="393"/>
        <v>9.8843684486373179E-2</v>
      </c>
      <c r="W233" s="223">
        <f t="shared" si="394"/>
        <v>0.29839602863810771</v>
      </c>
      <c r="X233" s="203">
        <f t="shared" si="395"/>
        <v>350</v>
      </c>
      <c r="Y233" s="454">
        <f t="shared" si="396"/>
        <v>350</v>
      </c>
      <c r="AA233" s="223">
        <f t="shared" si="397"/>
        <v>1.1374916163648559</v>
      </c>
      <c r="AB233" s="179">
        <f t="shared" si="398"/>
        <v>2.1462105969148224</v>
      </c>
      <c r="AC233" s="179">
        <f t="shared" si="399"/>
        <v>1.2816806944956125</v>
      </c>
      <c r="AD233" s="179"/>
      <c r="AE233" s="179">
        <f t="shared" si="400"/>
        <v>0.5660377358490567</v>
      </c>
      <c r="AF233" s="563">
        <f t="shared" si="401"/>
        <v>667.40740740740728</v>
      </c>
      <c r="AG233" s="546">
        <f t="shared" si="402"/>
        <v>8.9150943396226423E-2</v>
      </c>
      <c r="AI233" s="179">
        <f t="shared" si="403"/>
        <v>0.41426929359904002</v>
      </c>
      <c r="AJ233" s="179">
        <f t="shared" si="404"/>
        <v>0.41426929359904002</v>
      </c>
      <c r="AK233" s="179">
        <f t="shared" si="405"/>
        <v>1.284643921184474</v>
      </c>
      <c r="AM233" s="563">
        <f t="shared" si="406"/>
        <v>170</v>
      </c>
      <c r="AN233" s="472">
        <f t="shared" si="407"/>
        <v>350</v>
      </c>
      <c r="AP233">
        <f t="shared" si="408"/>
        <v>170</v>
      </c>
      <c r="AQ233">
        <f t="shared" si="409"/>
        <v>350</v>
      </c>
      <c r="AS233" s="6">
        <f t="shared" si="340"/>
        <v>2.8571428571428572</v>
      </c>
      <c r="AT233" s="6">
        <f t="shared" si="410"/>
        <v>0.25891830849940001</v>
      </c>
      <c r="AU233" s="6">
        <f t="shared" si="284"/>
        <v>2.598224548643457</v>
      </c>
      <c r="AV233" s="6"/>
      <c r="AW233" s="179">
        <f t="shared" si="285"/>
        <v>9.062140797479E-2</v>
      </c>
      <c r="AX233" s="179"/>
      <c r="BA233" s="472">
        <f t="shared" si="334"/>
        <v>0.88032224889796007</v>
      </c>
      <c r="BB233" s="6">
        <f t="shared" si="335"/>
        <v>4.2602061465025813E-2</v>
      </c>
      <c r="CD233" s="581">
        <f t="shared" si="411"/>
        <v>-50</v>
      </c>
      <c r="CE233">
        <f t="shared" si="412"/>
        <v>-50</v>
      </c>
    </row>
    <row r="234" spans="5:83" x14ac:dyDescent="0.2">
      <c r="E234" s="176">
        <v>18</v>
      </c>
      <c r="F234" s="223">
        <f t="shared" si="413"/>
        <v>0.18</v>
      </c>
      <c r="G234" s="223"/>
      <c r="H234" s="223">
        <f t="shared" si="382"/>
        <v>0.89999999999999991</v>
      </c>
      <c r="I234" s="559">
        <f t="shared" si="383"/>
        <v>48</v>
      </c>
      <c r="J234" s="454">
        <f t="shared" si="384"/>
        <v>15.899999999999999</v>
      </c>
      <c r="K234" s="454">
        <f t="shared" si="385"/>
        <v>63.9</v>
      </c>
      <c r="L234" s="454"/>
      <c r="M234" s="223">
        <f t="shared" si="386"/>
        <v>0.24882629107981219</v>
      </c>
      <c r="N234" s="178">
        <f t="shared" si="387"/>
        <v>8.0619718309859145</v>
      </c>
      <c r="O234" s="178">
        <f t="shared" si="339"/>
        <v>0.89999999999999991</v>
      </c>
      <c r="P234" s="223">
        <f t="shared" si="388"/>
        <v>1.6123943661971829</v>
      </c>
      <c r="Q234" s="223">
        <f t="shared" si="389"/>
        <v>5</v>
      </c>
      <c r="R234" s="223"/>
      <c r="S234" s="178">
        <f t="shared" si="390"/>
        <v>164.02920965791776</v>
      </c>
      <c r="T234" s="178">
        <f t="shared" si="391"/>
        <v>5</v>
      </c>
      <c r="U234" s="223">
        <f t="shared" si="392"/>
        <v>0.16745283018867924</v>
      </c>
      <c r="V234" s="223">
        <f t="shared" si="393"/>
        <v>0.10465801886792452</v>
      </c>
      <c r="W234" s="223">
        <f t="shared" si="394"/>
        <v>0.3159487362050552</v>
      </c>
      <c r="X234" s="203">
        <f t="shared" si="395"/>
        <v>350</v>
      </c>
      <c r="Y234" s="454">
        <f t="shared" si="396"/>
        <v>350</v>
      </c>
      <c r="AA234" s="223">
        <f t="shared" si="397"/>
        <v>1.1374916163648559</v>
      </c>
      <c r="AB234" s="179">
        <f t="shared" si="398"/>
        <v>2.1462105969148224</v>
      </c>
      <c r="AC234" s="179">
        <f t="shared" si="399"/>
        <v>1.2816806944956125</v>
      </c>
      <c r="AD234" s="179"/>
      <c r="AE234" s="179">
        <f t="shared" si="400"/>
        <v>0.5660377358490567</v>
      </c>
      <c r="AF234" s="563">
        <f t="shared" si="401"/>
        <v>706.66666666666652</v>
      </c>
      <c r="AG234" s="546">
        <f t="shared" si="402"/>
        <v>8.9150943396226423E-2</v>
      </c>
      <c r="AI234" s="179">
        <f t="shared" si="403"/>
        <v>0.42627958632133173</v>
      </c>
      <c r="AJ234" s="179">
        <f t="shared" si="404"/>
        <v>0.42627958632133173</v>
      </c>
      <c r="AK234" s="179">
        <f t="shared" si="405"/>
        <v>1.2935404343120975</v>
      </c>
      <c r="AM234" s="563">
        <f t="shared" si="406"/>
        <v>180</v>
      </c>
      <c r="AN234" s="472">
        <f t="shared" si="407"/>
        <v>350</v>
      </c>
      <c r="AP234">
        <f t="shared" si="408"/>
        <v>180</v>
      </c>
      <c r="AQ234">
        <f t="shared" si="409"/>
        <v>350</v>
      </c>
      <c r="AS234" s="6">
        <f t="shared" si="340"/>
        <v>2.8571428571428572</v>
      </c>
      <c r="AT234" s="6">
        <f t="shared" si="410"/>
        <v>0.26642474145083234</v>
      </c>
      <c r="AU234" s="6">
        <f t="shared" ref="AU234:AU297" si="414">AS234-AT234</f>
        <v>2.5907181156920247</v>
      </c>
      <c r="AV234" s="6"/>
      <c r="AW234" s="179">
        <f t="shared" ref="AW234:AW297" si="415">AT234/AS234</f>
        <v>9.3248659507791321E-2</v>
      </c>
      <c r="AX234" s="179"/>
      <c r="BA234" s="472">
        <f t="shared" si="334"/>
        <v>0.95912906922299634</v>
      </c>
      <c r="BB234" s="6">
        <f t="shared" si="335"/>
        <v>4.4977745064097643E-2</v>
      </c>
      <c r="CD234" s="581">
        <f t="shared" si="411"/>
        <v>-50</v>
      </c>
      <c r="CE234">
        <f t="shared" si="412"/>
        <v>-50</v>
      </c>
    </row>
    <row r="235" spans="5:83" x14ac:dyDescent="0.2">
      <c r="E235" s="176">
        <v>19</v>
      </c>
      <c r="F235" s="223">
        <f t="shared" si="413"/>
        <v>0.19</v>
      </c>
      <c r="G235" s="223"/>
      <c r="H235" s="223">
        <f t="shared" si="382"/>
        <v>0.95</v>
      </c>
      <c r="I235" s="559">
        <f t="shared" si="383"/>
        <v>48</v>
      </c>
      <c r="J235" s="454">
        <f t="shared" si="384"/>
        <v>15.899999999999999</v>
      </c>
      <c r="K235" s="454">
        <f t="shared" si="385"/>
        <v>63.9</v>
      </c>
      <c r="L235" s="454"/>
      <c r="M235" s="223">
        <f t="shared" si="386"/>
        <v>0.24882629107981219</v>
      </c>
      <c r="N235" s="178">
        <f t="shared" si="387"/>
        <v>8.0619718309859145</v>
      </c>
      <c r="O235" s="178">
        <f t="shared" si="339"/>
        <v>0.95</v>
      </c>
      <c r="P235" s="223">
        <f t="shared" si="388"/>
        <v>1.6123943661971829</v>
      </c>
      <c r="Q235" s="223">
        <f t="shared" si="389"/>
        <v>5</v>
      </c>
      <c r="R235" s="223"/>
      <c r="S235" s="178">
        <f t="shared" si="390"/>
        <v>154.55731206556797</v>
      </c>
      <c r="T235" s="178">
        <f t="shared" si="391"/>
        <v>5</v>
      </c>
      <c r="U235" s="223">
        <f t="shared" si="392"/>
        <v>0.17675576519916142</v>
      </c>
      <c r="V235" s="223">
        <f t="shared" si="393"/>
        <v>0.11047235324947589</v>
      </c>
      <c r="W235" s="223">
        <f t="shared" si="394"/>
        <v>0.33350144377200275</v>
      </c>
      <c r="X235" s="203">
        <f t="shared" si="395"/>
        <v>350</v>
      </c>
      <c r="Y235" s="454">
        <f t="shared" si="396"/>
        <v>350</v>
      </c>
      <c r="AA235" s="223">
        <f t="shared" si="397"/>
        <v>1.1374916163648559</v>
      </c>
      <c r="AB235" s="179">
        <f t="shared" si="398"/>
        <v>2.1462105969148224</v>
      </c>
      <c r="AC235" s="179">
        <f t="shared" si="399"/>
        <v>1.2816806944956125</v>
      </c>
      <c r="AD235" s="179"/>
      <c r="AE235" s="179">
        <f t="shared" si="400"/>
        <v>0.5660377358490567</v>
      </c>
      <c r="AF235" s="563">
        <f t="shared" si="401"/>
        <v>745.92592592592587</v>
      </c>
      <c r="AG235" s="546">
        <f t="shared" si="402"/>
        <v>8.9150943396226423E-2</v>
      </c>
      <c r="AI235" s="179">
        <f t="shared" si="403"/>
        <v>0.43796064184983996</v>
      </c>
      <c r="AJ235" s="179">
        <f t="shared" si="404"/>
        <v>0.43796064184983996</v>
      </c>
      <c r="AK235" s="179">
        <f t="shared" si="405"/>
        <v>1.3021930680369185</v>
      </c>
      <c r="AM235" s="563">
        <f t="shared" si="406"/>
        <v>190</v>
      </c>
      <c r="AN235" s="472">
        <f t="shared" si="407"/>
        <v>350</v>
      </c>
      <c r="AP235">
        <f t="shared" si="408"/>
        <v>190</v>
      </c>
      <c r="AQ235">
        <f t="shared" si="409"/>
        <v>350</v>
      </c>
      <c r="AS235" s="6">
        <f t="shared" si="340"/>
        <v>2.8571428571428572</v>
      </c>
      <c r="AT235" s="6">
        <f t="shared" si="410"/>
        <v>0.27372540115615002</v>
      </c>
      <c r="AU235" s="6">
        <f t="shared" si="414"/>
        <v>2.5834174559867074</v>
      </c>
      <c r="AV235" s="6"/>
      <c r="AW235" s="179">
        <f t="shared" si="415"/>
        <v>9.5803890404652509E-2</v>
      </c>
      <c r="AX235" s="179"/>
      <c r="BA235" s="472">
        <f t="shared" si="334"/>
        <v>1.0401565243933701</v>
      </c>
      <c r="BB235" s="6">
        <f t="shared" si="335"/>
        <v>4.7342719583089728E-2</v>
      </c>
      <c r="CD235" s="581">
        <f t="shared" si="411"/>
        <v>-50</v>
      </c>
      <c r="CE235">
        <f t="shared" si="412"/>
        <v>-50</v>
      </c>
    </row>
    <row r="236" spans="5:83" x14ac:dyDescent="0.2">
      <c r="E236" s="176">
        <v>20</v>
      </c>
      <c r="F236" s="223">
        <f t="shared" si="413"/>
        <v>0.2</v>
      </c>
      <c r="G236" s="223"/>
      <c r="H236" s="223">
        <f t="shared" si="382"/>
        <v>1</v>
      </c>
      <c r="I236" s="559">
        <f t="shared" si="383"/>
        <v>48</v>
      </c>
      <c r="J236" s="454">
        <f t="shared" si="384"/>
        <v>15.899999999999999</v>
      </c>
      <c r="K236" s="454">
        <f t="shared" si="385"/>
        <v>63.9</v>
      </c>
      <c r="L236" s="454"/>
      <c r="M236" s="223">
        <f t="shared" si="386"/>
        <v>0.24882629107981219</v>
      </c>
      <c r="N236" s="178">
        <f t="shared" si="387"/>
        <v>8.0619718309859145</v>
      </c>
      <c r="O236" s="178">
        <f t="shared" si="339"/>
        <v>1</v>
      </c>
      <c r="P236" s="223">
        <f t="shared" si="388"/>
        <v>1.6123943661971829</v>
      </c>
      <c r="Q236" s="223">
        <f t="shared" si="389"/>
        <v>5</v>
      </c>
      <c r="R236" s="223"/>
      <c r="S236" s="178">
        <f t="shared" si="390"/>
        <v>146.03280194143974</v>
      </c>
      <c r="T236" s="178">
        <f t="shared" si="391"/>
        <v>5</v>
      </c>
      <c r="U236" s="223">
        <f t="shared" si="392"/>
        <v>0.1860587002096436</v>
      </c>
      <c r="V236" s="223">
        <f t="shared" si="393"/>
        <v>0.11628668763102726</v>
      </c>
      <c r="W236" s="223">
        <f t="shared" si="394"/>
        <v>0.35105415133895024</v>
      </c>
      <c r="X236" s="203">
        <f t="shared" si="395"/>
        <v>350</v>
      </c>
      <c r="Y236" s="454">
        <f t="shared" si="396"/>
        <v>350</v>
      </c>
      <c r="AA236" s="223">
        <f t="shared" si="397"/>
        <v>1.1374916163648559</v>
      </c>
      <c r="AB236" s="179">
        <f t="shared" si="398"/>
        <v>2.1462105969148224</v>
      </c>
      <c r="AC236" s="179">
        <f t="shared" si="399"/>
        <v>1.2816806944956125</v>
      </c>
      <c r="AD236" s="179"/>
      <c r="AE236" s="179">
        <f t="shared" si="400"/>
        <v>0.5660377358490567</v>
      </c>
      <c r="AF236" s="563">
        <f t="shared" si="401"/>
        <v>785.18518518518511</v>
      </c>
      <c r="AG236" s="546">
        <f t="shared" si="402"/>
        <v>8.9150943396226423E-2</v>
      </c>
      <c r="AI236" s="179">
        <f t="shared" si="403"/>
        <v>0.44933813760325519</v>
      </c>
      <c r="AJ236" s="179">
        <f t="shared" si="404"/>
        <v>0.44933813760325519</v>
      </c>
      <c r="AK236" s="179">
        <f t="shared" si="405"/>
        <v>1.310620842669078</v>
      </c>
      <c r="AM236" s="563">
        <f t="shared" si="406"/>
        <v>200</v>
      </c>
      <c r="AN236" s="472">
        <f t="shared" si="407"/>
        <v>350</v>
      </c>
      <c r="AP236">
        <f t="shared" si="408"/>
        <v>200</v>
      </c>
      <c r="AQ236">
        <f t="shared" si="409"/>
        <v>350</v>
      </c>
      <c r="AS236" s="6">
        <f t="shared" si="340"/>
        <v>2.8571428571428572</v>
      </c>
      <c r="AT236" s="6">
        <f t="shared" si="410"/>
        <v>0.28083633600203456</v>
      </c>
      <c r="AU236" s="6">
        <f t="shared" si="414"/>
        <v>2.5763065211408227</v>
      </c>
      <c r="AV236" s="6"/>
      <c r="AW236" s="179">
        <f t="shared" si="415"/>
        <v>9.8292717600712093E-2</v>
      </c>
      <c r="AX236" s="179"/>
      <c r="BA236" s="472">
        <f t="shared" si="334"/>
        <v>1.1233453440081385</v>
      </c>
      <c r="BB236" s="6">
        <f t="shared" si="335"/>
        <v>4.9697270855339939E-2</v>
      </c>
      <c r="CD236" s="581">
        <f t="shared" si="411"/>
        <v>-50</v>
      </c>
      <c r="CE236">
        <f t="shared" si="412"/>
        <v>-50</v>
      </c>
    </row>
    <row r="237" spans="5:83" x14ac:dyDescent="0.2">
      <c r="E237" s="176">
        <v>21</v>
      </c>
      <c r="F237" s="223">
        <f t="shared" si="413"/>
        <v>0.21</v>
      </c>
      <c r="G237" s="223"/>
      <c r="H237" s="223">
        <f t="shared" si="382"/>
        <v>1.05</v>
      </c>
      <c r="I237" s="559">
        <f t="shared" si="383"/>
        <v>48</v>
      </c>
      <c r="J237" s="454">
        <f t="shared" si="384"/>
        <v>15.899999999999999</v>
      </c>
      <c r="K237" s="454">
        <f t="shared" si="385"/>
        <v>63.9</v>
      </c>
      <c r="L237" s="454"/>
      <c r="M237" s="223">
        <f t="shared" si="386"/>
        <v>0.24882629107981219</v>
      </c>
      <c r="N237" s="178">
        <f t="shared" si="387"/>
        <v>8.0619718309859145</v>
      </c>
      <c r="O237" s="178">
        <f t="shared" si="339"/>
        <v>1.05</v>
      </c>
      <c r="P237" s="223">
        <f t="shared" si="388"/>
        <v>1.6123943661971829</v>
      </c>
      <c r="Q237" s="223">
        <f t="shared" si="389"/>
        <v>5</v>
      </c>
      <c r="R237" s="223"/>
      <c r="S237" s="178">
        <f t="shared" si="390"/>
        <v>138.32034123841922</v>
      </c>
      <c r="T237" s="178">
        <f t="shared" si="391"/>
        <v>5</v>
      </c>
      <c r="U237" s="223">
        <f t="shared" si="392"/>
        <v>0.19536163522012578</v>
      </c>
      <c r="V237" s="223">
        <f t="shared" si="393"/>
        <v>0.12210102201257861</v>
      </c>
      <c r="W237" s="223">
        <f t="shared" si="394"/>
        <v>0.36860685890589773</v>
      </c>
      <c r="X237" s="203">
        <f t="shared" si="395"/>
        <v>350</v>
      </c>
      <c r="Y237" s="454">
        <f t="shared" si="396"/>
        <v>350</v>
      </c>
      <c r="AA237" s="223">
        <f t="shared" si="397"/>
        <v>1.1374916163648559</v>
      </c>
      <c r="AB237" s="179">
        <f t="shared" si="398"/>
        <v>2.1462105969148224</v>
      </c>
      <c r="AC237" s="179">
        <f t="shared" si="399"/>
        <v>1.2816806944956125</v>
      </c>
      <c r="AD237" s="179"/>
      <c r="AE237" s="179">
        <f t="shared" si="400"/>
        <v>0.5660377358490567</v>
      </c>
      <c r="AF237" s="563">
        <f t="shared" si="401"/>
        <v>824.44444444444423</v>
      </c>
      <c r="AG237" s="546">
        <f t="shared" si="402"/>
        <v>8.9150943396226423E-2</v>
      </c>
      <c r="AI237" s="179">
        <f t="shared" si="403"/>
        <v>0.46043457732885351</v>
      </c>
      <c r="AJ237" s="179">
        <f t="shared" si="404"/>
        <v>0.46043457732885351</v>
      </c>
      <c r="AK237" s="179">
        <f t="shared" si="405"/>
        <v>1.3188404276510026</v>
      </c>
      <c r="AM237" s="563">
        <f t="shared" si="406"/>
        <v>210</v>
      </c>
      <c r="AN237" s="472">
        <f t="shared" si="407"/>
        <v>350</v>
      </c>
      <c r="AP237">
        <f t="shared" si="408"/>
        <v>210</v>
      </c>
      <c r="AQ237">
        <f t="shared" si="409"/>
        <v>350</v>
      </c>
      <c r="AS237" s="6">
        <f t="shared" si="340"/>
        <v>2.8571428571428572</v>
      </c>
      <c r="AT237" s="6">
        <f t="shared" si="410"/>
        <v>0.28777161083053343</v>
      </c>
      <c r="AU237" s="6">
        <f t="shared" si="414"/>
        <v>2.5693712463123237</v>
      </c>
      <c r="AV237" s="6"/>
      <c r="AW237" s="179">
        <f t="shared" si="415"/>
        <v>0.1007200637906867</v>
      </c>
      <c r="AX237" s="179"/>
      <c r="BA237" s="472">
        <f t="shared" si="334"/>
        <v>1.2086407654882405</v>
      </c>
      <c r="BB237" s="6">
        <f t="shared" si="335"/>
        <v>5.2041662975075995E-2</v>
      </c>
      <c r="CD237" s="581">
        <f t="shared" si="411"/>
        <v>-50</v>
      </c>
      <c r="CE237">
        <f t="shared" si="412"/>
        <v>-50</v>
      </c>
    </row>
    <row r="238" spans="5:83" x14ac:dyDescent="0.2">
      <c r="E238" s="176">
        <v>22</v>
      </c>
      <c r="F238" s="223">
        <f t="shared" si="413"/>
        <v>0.22</v>
      </c>
      <c r="G238" s="223"/>
      <c r="H238" s="223">
        <f t="shared" si="382"/>
        <v>1.1000000000000001</v>
      </c>
      <c r="I238" s="559">
        <f t="shared" si="383"/>
        <v>48</v>
      </c>
      <c r="J238" s="454">
        <f t="shared" si="384"/>
        <v>15.899999999999999</v>
      </c>
      <c r="K238" s="454">
        <f t="shared" si="385"/>
        <v>63.9</v>
      </c>
      <c r="L238" s="454"/>
      <c r="M238" s="223">
        <f t="shared" si="386"/>
        <v>0.24882629107981219</v>
      </c>
      <c r="N238" s="178">
        <f t="shared" si="387"/>
        <v>8.0619718309859145</v>
      </c>
      <c r="O238" s="178">
        <f t="shared" si="339"/>
        <v>1.1000000000000001</v>
      </c>
      <c r="P238" s="223">
        <f t="shared" si="388"/>
        <v>1.6123943661971829</v>
      </c>
      <c r="Q238" s="223">
        <f t="shared" si="389"/>
        <v>5</v>
      </c>
      <c r="R238" s="223"/>
      <c r="S238" s="178">
        <f t="shared" si="390"/>
        <v>131.30919888748198</v>
      </c>
      <c r="T238" s="178">
        <f t="shared" si="391"/>
        <v>5</v>
      </c>
      <c r="U238" s="223">
        <f t="shared" si="392"/>
        <v>0.204664570230608</v>
      </c>
      <c r="V238" s="223">
        <f t="shared" si="393"/>
        <v>0.12791535639413001</v>
      </c>
      <c r="W238" s="223">
        <f t="shared" si="394"/>
        <v>0.38615956647284533</v>
      </c>
      <c r="X238" s="203">
        <f t="shared" si="395"/>
        <v>350</v>
      </c>
      <c r="Y238" s="454">
        <f t="shared" si="396"/>
        <v>350</v>
      </c>
      <c r="AA238" s="223">
        <f t="shared" si="397"/>
        <v>1.1374916163648559</v>
      </c>
      <c r="AB238" s="179">
        <f t="shared" si="398"/>
        <v>2.1462105969148224</v>
      </c>
      <c r="AC238" s="179">
        <f t="shared" si="399"/>
        <v>1.2816806944956125</v>
      </c>
      <c r="AD238" s="179"/>
      <c r="AE238" s="179">
        <f t="shared" si="400"/>
        <v>0.5660377358490567</v>
      </c>
      <c r="AF238" s="563">
        <f t="shared" si="401"/>
        <v>863.70370370370358</v>
      </c>
      <c r="AG238" s="546">
        <f t="shared" si="402"/>
        <v>8.9150943396226423E-2</v>
      </c>
      <c r="AI238" s="179">
        <f t="shared" si="403"/>
        <v>0.47126981453859113</v>
      </c>
      <c r="AJ238" s="179">
        <f t="shared" si="404"/>
        <v>0.47126981453859113</v>
      </c>
      <c r="AK238" s="179">
        <f t="shared" si="405"/>
        <v>1.3268665292878452</v>
      </c>
      <c r="AM238" s="563">
        <f t="shared" si="406"/>
        <v>220</v>
      </c>
      <c r="AN238" s="472">
        <f t="shared" si="407"/>
        <v>350</v>
      </c>
      <c r="AP238">
        <f t="shared" si="408"/>
        <v>220</v>
      </c>
      <c r="AQ238">
        <f t="shared" si="409"/>
        <v>350</v>
      </c>
      <c r="AS238" s="6">
        <f t="shared" si="340"/>
        <v>2.8571428571428572</v>
      </c>
      <c r="AT238" s="6">
        <f t="shared" si="410"/>
        <v>0.29454363408661943</v>
      </c>
      <c r="AU238" s="6">
        <f t="shared" si="414"/>
        <v>2.562599223056238</v>
      </c>
      <c r="AV238" s="6"/>
      <c r="AW238" s="179">
        <f t="shared" si="415"/>
        <v>0.10309027193031679</v>
      </c>
      <c r="AX238" s="179"/>
      <c r="BA238" s="472">
        <f t="shared" si="334"/>
        <v>1.2959919899811256</v>
      </c>
      <c r="BB238" s="6">
        <f t="shared" si="335"/>
        <v>5.4376140921332208E-2</v>
      </c>
      <c r="CD238" s="581">
        <f t="shared" si="411"/>
        <v>-50</v>
      </c>
      <c r="CE238">
        <f t="shared" si="412"/>
        <v>-50</v>
      </c>
    </row>
    <row r="239" spans="5:83" x14ac:dyDescent="0.2">
      <c r="E239" s="176">
        <v>23</v>
      </c>
      <c r="F239" s="223">
        <f t="shared" si="413"/>
        <v>0.23</v>
      </c>
      <c r="G239" s="223"/>
      <c r="H239" s="223">
        <f t="shared" si="382"/>
        <v>1.1500000000000001</v>
      </c>
      <c r="I239" s="559">
        <f t="shared" si="383"/>
        <v>48</v>
      </c>
      <c r="J239" s="454">
        <f t="shared" si="384"/>
        <v>15.899999999999999</v>
      </c>
      <c r="K239" s="454">
        <f t="shared" si="385"/>
        <v>63.9</v>
      </c>
      <c r="L239" s="454"/>
      <c r="M239" s="223">
        <f t="shared" si="386"/>
        <v>0.24882629107981219</v>
      </c>
      <c r="N239" s="178">
        <f t="shared" si="387"/>
        <v>8.0619718309859145</v>
      </c>
      <c r="O239" s="178">
        <f t="shared" si="339"/>
        <v>1.1500000000000001</v>
      </c>
      <c r="P239" s="223">
        <f t="shared" si="388"/>
        <v>1.6123943661971829</v>
      </c>
      <c r="Q239" s="223">
        <f t="shared" si="389"/>
        <v>5</v>
      </c>
      <c r="R239" s="223"/>
      <c r="S239" s="178">
        <f t="shared" si="390"/>
        <v>124.9079014561125</v>
      </c>
      <c r="T239" s="178">
        <f t="shared" si="391"/>
        <v>5</v>
      </c>
      <c r="U239" s="223">
        <f t="shared" si="392"/>
        <v>0.21396750524109018</v>
      </c>
      <c r="V239" s="223">
        <f t="shared" si="393"/>
        <v>0.13372969077568136</v>
      </c>
      <c r="W239" s="223">
        <f t="shared" si="394"/>
        <v>0.40371227403979287</v>
      </c>
      <c r="X239" s="203">
        <f t="shared" si="395"/>
        <v>350</v>
      </c>
      <c r="Y239" s="454">
        <f t="shared" si="396"/>
        <v>350</v>
      </c>
      <c r="AA239" s="223">
        <f t="shared" si="397"/>
        <v>1.1374916163648559</v>
      </c>
      <c r="AB239" s="179">
        <f t="shared" si="398"/>
        <v>2.1462105969148224</v>
      </c>
      <c r="AC239" s="179">
        <f t="shared" si="399"/>
        <v>1.2816806944956125</v>
      </c>
      <c r="AD239" s="179"/>
      <c r="AE239" s="179">
        <f t="shared" si="400"/>
        <v>0.5660377358490567</v>
      </c>
      <c r="AF239" s="563">
        <f t="shared" si="401"/>
        <v>902.96296296296282</v>
      </c>
      <c r="AG239" s="546">
        <f t="shared" si="402"/>
        <v>8.9150943396226423E-2</v>
      </c>
      <c r="AI239" s="179">
        <f t="shared" si="403"/>
        <v>0.48186146991690065</v>
      </c>
      <c r="AJ239" s="179">
        <f t="shared" si="404"/>
        <v>0.48186146991690065</v>
      </c>
      <c r="AK239" s="179">
        <f t="shared" si="405"/>
        <v>1.3347121999384448</v>
      </c>
      <c r="AM239" s="563">
        <f t="shared" si="406"/>
        <v>230</v>
      </c>
      <c r="AN239" s="472">
        <f t="shared" si="407"/>
        <v>350</v>
      </c>
      <c r="AP239">
        <f t="shared" si="408"/>
        <v>230</v>
      </c>
      <c r="AQ239">
        <f t="shared" si="409"/>
        <v>350</v>
      </c>
      <c r="AS239" s="6">
        <f t="shared" si="340"/>
        <v>2.8571428571428572</v>
      </c>
      <c r="AT239" s="6">
        <f t="shared" si="410"/>
        <v>0.3011634186980629</v>
      </c>
      <c r="AU239" s="6">
        <f t="shared" si="414"/>
        <v>2.5559794384447945</v>
      </c>
      <c r="AV239" s="6"/>
      <c r="AW239" s="179">
        <f t="shared" si="415"/>
        <v>0.10540719654432201</v>
      </c>
      <c r="AX239" s="179"/>
      <c r="BA239" s="472">
        <f t="shared" si="334"/>
        <v>1.3853517260110895</v>
      </c>
      <c r="BB239" s="6">
        <f t="shared" si="335"/>
        <v>5.6700932758709757E-2</v>
      </c>
      <c r="CD239" s="581">
        <f t="shared" si="411"/>
        <v>-50</v>
      </c>
      <c r="CE239">
        <f t="shared" si="412"/>
        <v>-50</v>
      </c>
    </row>
    <row r="240" spans="5:83" x14ac:dyDescent="0.2">
      <c r="E240" s="176">
        <v>24</v>
      </c>
      <c r="F240" s="223">
        <f t="shared" si="413"/>
        <v>0.24</v>
      </c>
      <c r="G240" s="223"/>
      <c r="H240" s="223">
        <f t="shared" si="382"/>
        <v>1.2</v>
      </c>
      <c r="I240" s="559">
        <f t="shared" si="383"/>
        <v>48</v>
      </c>
      <c r="J240" s="454">
        <f t="shared" si="384"/>
        <v>15.899999999999999</v>
      </c>
      <c r="K240" s="454">
        <f t="shared" si="385"/>
        <v>63.9</v>
      </c>
      <c r="L240" s="454"/>
      <c r="M240" s="223">
        <f t="shared" si="386"/>
        <v>0.24882629107981219</v>
      </c>
      <c r="N240" s="178">
        <f t="shared" si="387"/>
        <v>8.0619718309859145</v>
      </c>
      <c r="O240" s="178">
        <f t="shared" si="339"/>
        <v>1.2</v>
      </c>
      <c r="P240" s="223">
        <f t="shared" si="388"/>
        <v>1.6123943661971829</v>
      </c>
      <c r="Q240" s="223">
        <f t="shared" si="389"/>
        <v>5</v>
      </c>
      <c r="R240" s="223"/>
      <c r="S240" s="178">
        <f t="shared" si="390"/>
        <v>119.04022114216029</v>
      </c>
      <c r="T240" s="178">
        <f t="shared" si="391"/>
        <v>5</v>
      </c>
      <c r="U240" s="223">
        <f t="shared" si="392"/>
        <v>0.22327044025157233</v>
      </c>
      <c r="V240" s="223">
        <f t="shared" si="393"/>
        <v>0.13954402515723272</v>
      </c>
      <c r="W240" s="223">
        <f t="shared" si="394"/>
        <v>0.42126498160674031</v>
      </c>
      <c r="X240" s="203">
        <f t="shared" si="395"/>
        <v>350</v>
      </c>
      <c r="Y240" s="454">
        <f t="shared" si="396"/>
        <v>350</v>
      </c>
      <c r="AA240" s="223">
        <f t="shared" si="397"/>
        <v>1.1374916163648559</v>
      </c>
      <c r="AB240" s="179">
        <f t="shared" si="398"/>
        <v>2.1462105969148224</v>
      </c>
      <c r="AC240" s="179">
        <f t="shared" si="399"/>
        <v>1.2816806944956125</v>
      </c>
      <c r="AD240" s="179"/>
      <c r="AE240" s="179">
        <f t="shared" si="400"/>
        <v>0.5660377358490567</v>
      </c>
      <c r="AF240" s="563">
        <f t="shared" si="401"/>
        <v>942.22222222222206</v>
      </c>
      <c r="AG240" s="546">
        <f t="shared" si="402"/>
        <v>8.9150943396226423E-2</v>
      </c>
      <c r="AI240" s="179">
        <f t="shared" si="403"/>
        <v>0.49222526782532633</v>
      </c>
      <c r="AJ240" s="179">
        <f t="shared" si="404"/>
        <v>0.49222526782532633</v>
      </c>
      <c r="AK240" s="179">
        <f t="shared" si="405"/>
        <v>1.3423890872780195</v>
      </c>
      <c r="AM240" s="563">
        <f t="shared" si="406"/>
        <v>240</v>
      </c>
      <c r="AN240" s="472">
        <f t="shared" si="407"/>
        <v>350</v>
      </c>
      <c r="AP240">
        <f t="shared" si="408"/>
        <v>240</v>
      </c>
      <c r="AQ240">
        <f t="shared" si="409"/>
        <v>350</v>
      </c>
      <c r="AS240" s="6">
        <f t="shared" si="340"/>
        <v>2.8571428571428572</v>
      </c>
      <c r="AT240" s="6">
        <f t="shared" si="410"/>
        <v>0.30764079239082898</v>
      </c>
      <c r="AU240" s="6">
        <f t="shared" si="414"/>
        <v>2.5495020647520281</v>
      </c>
      <c r="AV240" s="6"/>
      <c r="AW240" s="179">
        <f t="shared" si="415"/>
        <v>0.10767427733679014</v>
      </c>
      <c r="AX240" s="179"/>
      <c r="BA240" s="472">
        <f t="shared" si="334"/>
        <v>1.476675803475979</v>
      </c>
      <c r="BB240" s="6">
        <f t="shared" si="335"/>
        <v>5.9016251498889526E-2</v>
      </c>
      <c r="CD240" s="581">
        <f t="shared" si="411"/>
        <v>-50</v>
      </c>
      <c r="CE240">
        <f t="shared" si="412"/>
        <v>-50</v>
      </c>
    </row>
    <row r="241" spans="5:83" x14ac:dyDescent="0.2">
      <c r="E241" s="176">
        <v>25</v>
      </c>
      <c r="F241" s="223">
        <f t="shared" si="413"/>
        <v>0.25</v>
      </c>
      <c r="G241" s="223"/>
      <c r="H241" s="223">
        <f t="shared" si="382"/>
        <v>1.25</v>
      </c>
      <c r="I241" s="559">
        <f t="shared" si="383"/>
        <v>48</v>
      </c>
      <c r="J241" s="454">
        <f t="shared" si="384"/>
        <v>15.899999999999999</v>
      </c>
      <c r="K241" s="454">
        <f t="shared" si="385"/>
        <v>63.9</v>
      </c>
      <c r="L241" s="454"/>
      <c r="M241" s="223">
        <f t="shared" si="386"/>
        <v>0.24882629107981219</v>
      </c>
      <c r="N241" s="178">
        <f t="shared" si="387"/>
        <v>8.0619718309859145</v>
      </c>
      <c r="O241" s="178">
        <f t="shared" si="339"/>
        <v>1.25</v>
      </c>
      <c r="P241" s="223">
        <f t="shared" si="388"/>
        <v>1.6123943661971829</v>
      </c>
      <c r="Q241" s="223">
        <f t="shared" si="389"/>
        <v>5</v>
      </c>
      <c r="R241" s="223"/>
      <c r="S241" s="178">
        <f t="shared" si="390"/>
        <v>113.64212664921357</v>
      </c>
      <c r="T241" s="178">
        <f t="shared" si="391"/>
        <v>5</v>
      </c>
      <c r="U241" s="223">
        <f t="shared" si="392"/>
        <v>0.23257337526205452</v>
      </c>
      <c r="V241" s="223">
        <f t="shared" si="393"/>
        <v>0.14535835953878409</v>
      </c>
      <c r="W241" s="223">
        <f t="shared" si="394"/>
        <v>0.4388176891736878</v>
      </c>
      <c r="X241" s="203">
        <f t="shared" si="395"/>
        <v>350</v>
      </c>
      <c r="Y241" s="454">
        <f t="shared" si="396"/>
        <v>350</v>
      </c>
      <c r="AA241" s="223">
        <f t="shared" si="397"/>
        <v>1.1374916163648559</v>
      </c>
      <c r="AB241" s="179">
        <f t="shared" si="398"/>
        <v>2.1462105969148224</v>
      </c>
      <c r="AC241" s="179">
        <f t="shared" si="399"/>
        <v>1.2816806944956125</v>
      </c>
      <c r="AD241" s="179"/>
      <c r="AE241" s="179">
        <f t="shared" si="400"/>
        <v>0.5660377358490567</v>
      </c>
      <c r="AF241" s="563">
        <f t="shared" si="401"/>
        <v>981.4814814814813</v>
      </c>
      <c r="AG241" s="546">
        <f t="shared" si="402"/>
        <v>8.9150943396226423E-2</v>
      </c>
      <c r="AI241" s="179">
        <f t="shared" si="403"/>
        <v>0.50237531028201654</v>
      </c>
      <c r="AJ241" s="179">
        <f t="shared" si="404"/>
        <v>0.50237531028201654</v>
      </c>
      <c r="AK241" s="179">
        <f t="shared" si="405"/>
        <v>1.3499076372459382</v>
      </c>
      <c r="AM241" s="563">
        <f t="shared" si="406"/>
        <v>250</v>
      </c>
      <c r="AN241" s="472">
        <f t="shared" si="407"/>
        <v>350</v>
      </c>
      <c r="AP241">
        <f t="shared" si="408"/>
        <v>250</v>
      </c>
      <c r="AQ241">
        <f t="shared" si="409"/>
        <v>350</v>
      </c>
      <c r="AS241" s="6">
        <f t="shared" si="340"/>
        <v>2.8571428571428572</v>
      </c>
      <c r="AT241" s="6">
        <f t="shared" si="410"/>
        <v>0.31398456892626037</v>
      </c>
      <c r="AU241" s="6">
        <f t="shared" si="414"/>
        <v>2.5431582882165968</v>
      </c>
      <c r="AV241" s="6"/>
      <c r="AW241" s="179">
        <f t="shared" si="415"/>
        <v>0.10989459912419113</v>
      </c>
      <c r="AX241" s="179"/>
      <c r="BA241" s="472">
        <f t="shared" si="334"/>
        <v>1.5699228446313018</v>
      </c>
      <c r="BB241" s="6">
        <f t="shared" si="335"/>
        <v>6.1322296687321483E-2</v>
      </c>
      <c r="CD241" s="581">
        <f t="shared" si="411"/>
        <v>-50</v>
      </c>
      <c r="CE241">
        <f t="shared" si="412"/>
        <v>-50</v>
      </c>
    </row>
    <row r="242" spans="5:83" x14ac:dyDescent="0.2">
      <c r="E242" s="176">
        <v>26</v>
      </c>
      <c r="F242" s="223">
        <f t="shared" si="413"/>
        <v>0.26</v>
      </c>
      <c r="G242" s="223"/>
      <c r="H242" s="223">
        <f t="shared" si="382"/>
        <v>1.3</v>
      </c>
      <c r="I242" s="559">
        <f t="shared" si="383"/>
        <v>48</v>
      </c>
      <c r="J242" s="454">
        <f t="shared" si="384"/>
        <v>15.899999999999999</v>
      </c>
      <c r="K242" s="454">
        <f t="shared" si="385"/>
        <v>63.9</v>
      </c>
      <c r="L242" s="454"/>
      <c r="M242" s="223">
        <f t="shared" si="386"/>
        <v>0.24882629107981219</v>
      </c>
      <c r="N242" s="178">
        <f t="shared" si="387"/>
        <v>8.0619718309859145</v>
      </c>
      <c r="O242" s="178">
        <f t="shared" si="339"/>
        <v>1.3</v>
      </c>
      <c r="P242" s="223">
        <f t="shared" si="388"/>
        <v>1.6123943661971829</v>
      </c>
      <c r="Q242" s="223">
        <f t="shared" si="389"/>
        <v>5</v>
      </c>
      <c r="R242" s="223"/>
      <c r="S242" s="178">
        <f t="shared" si="390"/>
        <v>108.65943770615901</v>
      </c>
      <c r="T242" s="178">
        <f t="shared" si="391"/>
        <v>5</v>
      </c>
      <c r="U242" s="223">
        <f t="shared" si="392"/>
        <v>0.2418763102725367</v>
      </c>
      <c r="V242" s="223">
        <f t="shared" si="393"/>
        <v>0.15117269392033544</v>
      </c>
      <c r="W242" s="223">
        <f t="shared" si="394"/>
        <v>0.45637039674063529</v>
      </c>
      <c r="X242" s="203">
        <f t="shared" si="395"/>
        <v>350</v>
      </c>
      <c r="Y242" s="454">
        <f t="shared" si="396"/>
        <v>350</v>
      </c>
      <c r="AA242" s="223">
        <f t="shared" si="397"/>
        <v>1.1374916163648559</v>
      </c>
      <c r="AB242" s="179">
        <f t="shared" si="398"/>
        <v>2.1462105969148224</v>
      </c>
      <c r="AC242" s="179">
        <f t="shared" si="399"/>
        <v>1.2816806944956125</v>
      </c>
      <c r="AD242" s="179"/>
      <c r="AE242" s="179">
        <f t="shared" si="400"/>
        <v>0.5660377358490567</v>
      </c>
      <c r="AF242" s="563">
        <f t="shared" si="401"/>
        <v>1020.7407407407405</v>
      </c>
      <c r="AG242" s="546">
        <f t="shared" si="402"/>
        <v>8.9150943396226423E-2</v>
      </c>
      <c r="AI242" s="179">
        <f t="shared" si="403"/>
        <v>0.51232430205504642</v>
      </c>
      <c r="AJ242" s="179">
        <f t="shared" si="404"/>
        <v>0.51232430205504642</v>
      </c>
      <c r="AK242" s="179">
        <f t="shared" si="405"/>
        <v>1.3572772607815158</v>
      </c>
      <c r="AM242" s="563">
        <f t="shared" si="406"/>
        <v>260</v>
      </c>
      <c r="AN242" s="472">
        <f t="shared" si="407"/>
        <v>350</v>
      </c>
      <c r="AP242">
        <f t="shared" si="408"/>
        <v>260</v>
      </c>
      <c r="AQ242">
        <f t="shared" si="409"/>
        <v>350</v>
      </c>
      <c r="AS242" s="6">
        <f t="shared" si="340"/>
        <v>2.8571428571428572</v>
      </c>
      <c r="AT242" s="6">
        <f t="shared" si="410"/>
        <v>0.32020268878440405</v>
      </c>
      <c r="AU242" s="6">
        <f t="shared" si="414"/>
        <v>2.5369401683584529</v>
      </c>
      <c r="AV242" s="6"/>
      <c r="AW242" s="179">
        <f t="shared" si="415"/>
        <v>0.11207094107454142</v>
      </c>
      <c r="AX242" s="179"/>
      <c r="BA242" s="472">
        <f t="shared" si="334"/>
        <v>1.6650539816789012</v>
      </c>
      <c r="BB242" s="6">
        <f t="shared" si="335"/>
        <v>6.3619255765161808E-2</v>
      </c>
      <c r="CD242" s="581">
        <f t="shared" si="411"/>
        <v>-50</v>
      </c>
      <c r="CE242">
        <f t="shared" si="412"/>
        <v>-50</v>
      </c>
    </row>
    <row r="243" spans="5:83" x14ac:dyDescent="0.2">
      <c r="E243" s="176">
        <v>27</v>
      </c>
      <c r="F243" s="223">
        <f t="shared" si="413"/>
        <v>0.27</v>
      </c>
      <c r="G243" s="223"/>
      <c r="H243" s="223">
        <f t="shared" si="382"/>
        <v>1.35</v>
      </c>
      <c r="I243" s="559">
        <f t="shared" si="383"/>
        <v>48</v>
      </c>
      <c r="J243" s="454">
        <f t="shared" si="384"/>
        <v>15.899999999999999</v>
      </c>
      <c r="K243" s="454">
        <f t="shared" si="385"/>
        <v>63.9</v>
      </c>
      <c r="L243" s="454"/>
      <c r="M243" s="223">
        <f t="shared" si="386"/>
        <v>0.24882629107981219</v>
      </c>
      <c r="N243" s="178">
        <f t="shared" si="387"/>
        <v>8.0619718309859145</v>
      </c>
      <c r="O243" s="178">
        <f t="shared" si="339"/>
        <v>1.35</v>
      </c>
      <c r="P243" s="223">
        <f t="shared" si="388"/>
        <v>1.6123943661971829</v>
      </c>
      <c r="Q243" s="223">
        <f t="shared" si="389"/>
        <v>5</v>
      </c>
      <c r="R243" s="223"/>
      <c r="S243" s="178">
        <f t="shared" si="390"/>
        <v>104.04600080465939</v>
      </c>
      <c r="T243" s="178">
        <f t="shared" si="391"/>
        <v>5</v>
      </c>
      <c r="U243" s="223">
        <f t="shared" si="392"/>
        <v>0.25117924528301888</v>
      </c>
      <c r="V243" s="223">
        <f t="shared" si="393"/>
        <v>0.15698702830188679</v>
      </c>
      <c r="W243" s="223">
        <f t="shared" si="394"/>
        <v>0.47392310430758283</v>
      </c>
      <c r="X243" s="203">
        <f t="shared" si="395"/>
        <v>350</v>
      </c>
      <c r="Y243" s="454">
        <f t="shared" si="396"/>
        <v>350</v>
      </c>
      <c r="AA243" s="223">
        <f t="shared" si="397"/>
        <v>1.1374916163648559</v>
      </c>
      <c r="AB243" s="179">
        <f t="shared" si="398"/>
        <v>2.1462105969148224</v>
      </c>
      <c r="AC243" s="179">
        <f t="shared" si="399"/>
        <v>1.2816806944956125</v>
      </c>
      <c r="AD243" s="179"/>
      <c r="AE243" s="179">
        <f t="shared" si="400"/>
        <v>0.5660377358490567</v>
      </c>
      <c r="AF243" s="563">
        <f t="shared" si="401"/>
        <v>1059.9999999999998</v>
      </c>
      <c r="AG243" s="546">
        <f t="shared" si="402"/>
        <v>8.9150943396226423E-2</v>
      </c>
      <c r="AI243" s="179">
        <f t="shared" si="403"/>
        <v>0.52208373712597922</v>
      </c>
      <c r="AJ243" s="179">
        <f t="shared" si="404"/>
        <v>0.52208373712597922</v>
      </c>
      <c r="AK243" s="179">
        <f t="shared" si="405"/>
        <v>1.3645064719451698</v>
      </c>
      <c r="AM243" s="563">
        <f t="shared" si="406"/>
        <v>270</v>
      </c>
      <c r="AN243" s="472">
        <f t="shared" si="407"/>
        <v>350</v>
      </c>
      <c r="AP243">
        <f t="shared" si="408"/>
        <v>270</v>
      </c>
      <c r="AQ243">
        <f t="shared" si="409"/>
        <v>350</v>
      </c>
      <c r="AS243" s="6">
        <f t="shared" si="340"/>
        <v>2.8571428571428572</v>
      </c>
      <c r="AT243" s="6">
        <f t="shared" si="410"/>
        <v>0.32630233570373707</v>
      </c>
      <c r="AU243" s="6">
        <f t="shared" si="414"/>
        <v>2.5308405214391203</v>
      </c>
      <c r="AV243" s="6"/>
      <c r="AW243" s="179">
        <f t="shared" si="415"/>
        <v>0.11420581749630797</v>
      </c>
      <c r="AX243" s="179"/>
      <c r="BA243" s="472">
        <f t="shared" si="334"/>
        <v>1.7620326128001804</v>
      </c>
      <c r="BB243" s="6">
        <f t="shared" si="335"/>
        <v>6.5907305245810413E-2</v>
      </c>
      <c r="CD243" s="581">
        <f t="shared" si="411"/>
        <v>-50</v>
      </c>
      <c r="CE243">
        <f t="shared" si="412"/>
        <v>-50</v>
      </c>
    </row>
    <row r="244" spans="5:83" x14ac:dyDescent="0.2">
      <c r="E244" s="176">
        <v>28</v>
      </c>
      <c r="F244" s="223">
        <f t="shared" si="413"/>
        <v>0.28000000000000003</v>
      </c>
      <c r="G244" s="223"/>
      <c r="H244" s="223">
        <f t="shared" si="382"/>
        <v>1.4000000000000001</v>
      </c>
      <c r="I244" s="559">
        <f t="shared" si="383"/>
        <v>48</v>
      </c>
      <c r="J244" s="454">
        <f t="shared" si="384"/>
        <v>15.899999999999999</v>
      </c>
      <c r="K244" s="454">
        <f t="shared" si="385"/>
        <v>63.9</v>
      </c>
      <c r="L244" s="454"/>
      <c r="M244" s="223">
        <f t="shared" si="386"/>
        <v>0.24882629107981219</v>
      </c>
      <c r="N244" s="178">
        <f t="shared" si="387"/>
        <v>8.0619718309859145</v>
      </c>
      <c r="O244" s="178">
        <f t="shared" si="339"/>
        <v>1.4000000000000001</v>
      </c>
      <c r="P244" s="223">
        <f t="shared" si="388"/>
        <v>1.6123943661971829</v>
      </c>
      <c r="Q244" s="223">
        <f t="shared" si="389"/>
        <v>5</v>
      </c>
      <c r="R244" s="223"/>
      <c r="S244" s="178">
        <f t="shared" si="390"/>
        <v>99.762255850069906</v>
      </c>
      <c r="T244" s="178">
        <f t="shared" si="391"/>
        <v>5</v>
      </c>
      <c r="U244" s="223">
        <f t="shared" si="392"/>
        <v>0.26048218029350106</v>
      </c>
      <c r="V244" s="223">
        <f t="shared" si="393"/>
        <v>0.16280136268343817</v>
      </c>
      <c r="W244" s="223">
        <f t="shared" si="394"/>
        <v>0.49147581187453027</v>
      </c>
      <c r="X244" s="203">
        <f t="shared" si="395"/>
        <v>350</v>
      </c>
      <c r="Y244" s="454">
        <f t="shared" si="396"/>
        <v>350</v>
      </c>
      <c r="AA244" s="223">
        <f t="shared" si="397"/>
        <v>1.1374916163648559</v>
      </c>
      <c r="AB244" s="179">
        <f t="shared" si="398"/>
        <v>2.1462105969148224</v>
      </c>
      <c r="AC244" s="179">
        <f t="shared" si="399"/>
        <v>1.2816806944956125</v>
      </c>
      <c r="AD244" s="179"/>
      <c r="AE244" s="179">
        <f t="shared" si="400"/>
        <v>0.5660377358490567</v>
      </c>
      <c r="AF244" s="563">
        <f t="shared" si="401"/>
        <v>1099.2592592592591</v>
      </c>
      <c r="AG244" s="546">
        <f t="shared" si="402"/>
        <v>8.9150943396226423E-2</v>
      </c>
      <c r="AI244" s="179">
        <f t="shared" si="403"/>
        <v>0.53166405433005026</v>
      </c>
      <c r="AJ244" s="179">
        <f t="shared" si="404"/>
        <v>0.53166405433005026</v>
      </c>
      <c r="AK244" s="179">
        <f t="shared" si="405"/>
        <v>1.3716030032074447</v>
      </c>
      <c r="AM244" s="563">
        <f t="shared" si="406"/>
        <v>280</v>
      </c>
      <c r="AN244" s="472">
        <f t="shared" si="407"/>
        <v>350</v>
      </c>
      <c r="AP244">
        <f t="shared" si="408"/>
        <v>280</v>
      </c>
      <c r="AQ244">
        <f t="shared" si="409"/>
        <v>350</v>
      </c>
      <c r="AS244" s="6">
        <f t="shared" si="340"/>
        <v>2.8571428571428572</v>
      </c>
      <c r="AT244" s="6">
        <f t="shared" si="410"/>
        <v>0.33229003395628143</v>
      </c>
      <c r="AU244" s="6">
        <f t="shared" si="414"/>
        <v>2.5248528231865759</v>
      </c>
      <c r="AV244" s="6"/>
      <c r="AW244" s="179">
        <f t="shared" si="415"/>
        <v>0.11630151188469849</v>
      </c>
      <c r="AX244" s="179"/>
      <c r="BA244" s="472">
        <f t="shared" si="334"/>
        <v>1.8608241901551761</v>
      </c>
      <c r="BB244" s="6">
        <f t="shared" si="335"/>
        <v>6.8186611737291777E-2</v>
      </c>
      <c r="CD244" s="581">
        <f t="shared" si="411"/>
        <v>-50</v>
      </c>
      <c r="CE244">
        <f t="shared" si="412"/>
        <v>-50</v>
      </c>
    </row>
    <row r="245" spans="5:83" x14ac:dyDescent="0.2">
      <c r="E245" s="176">
        <v>29</v>
      </c>
      <c r="F245" s="223">
        <f t="shared" si="413"/>
        <v>0.28999999999999998</v>
      </c>
      <c r="G245" s="223"/>
      <c r="H245" s="223">
        <f t="shared" si="382"/>
        <v>1.45</v>
      </c>
      <c r="I245" s="559">
        <f t="shared" si="383"/>
        <v>48</v>
      </c>
      <c r="J245" s="454">
        <f t="shared" si="384"/>
        <v>15.899999999999999</v>
      </c>
      <c r="K245" s="454">
        <f t="shared" si="385"/>
        <v>63.9</v>
      </c>
      <c r="L245" s="454"/>
      <c r="M245" s="223">
        <f t="shared" si="386"/>
        <v>0.24882629107981219</v>
      </c>
      <c r="N245" s="178">
        <f t="shared" si="387"/>
        <v>8.0619718309859145</v>
      </c>
      <c r="O245" s="178">
        <f t="shared" si="339"/>
        <v>1.45</v>
      </c>
      <c r="P245" s="223">
        <f t="shared" si="388"/>
        <v>1.6123943661971829</v>
      </c>
      <c r="Q245" s="223">
        <f t="shared" si="389"/>
        <v>5</v>
      </c>
      <c r="R245" s="223"/>
      <c r="S245" s="178">
        <f t="shared" si="390"/>
        <v>95.77409936738006</v>
      </c>
      <c r="T245" s="178">
        <f t="shared" si="391"/>
        <v>5</v>
      </c>
      <c r="U245" s="223">
        <f t="shared" si="392"/>
        <v>0.26978511530398325</v>
      </c>
      <c r="V245" s="223">
        <f t="shared" si="393"/>
        <v>0.16861569706498952</v>
      </c>
      <c r="W245" s="223">
        <f t="shared" si="394"/>
        <v>0.50902851944147787</v>
      </c>
      <c r="X245" s="203">
        <f t="shared" si="395"/>
        <v>350</v>
      </c>
      <c r="Y245" s="454">
        <f t="shared" si="396"/>
        <v>350</v>
      </c>
      <c r="AA245" s="223">
        <f t="shared" si="397"/>
        <v>1.1374916163648559</v>
      </c>
      <c r="AB245" s="179">
        <f t="shared" si="398"/>
        <v>2.1462105969148224</v>
      </c>
      <c r="AC245" s="179">
        <f t="shared" si="399"/>
        <v>1.2816806944956125</v>
      </c>
      <c r="AD245" s="179"/>
      <c r="AE245" s="179">
        <f t="shared" si="400"/>
        <v>0.5660377358490567</v>
      </c>
      <c r="AF245" s="563">
        <f t="shared" si="401"/>
        <v>1138.5185185185182</v>
      </c>
      <c r="AG245" s="546">
        <f t="shared" si="402"/>
        <v>8.9150943396226423E-2</v>
      </c>
      <c r="AI245" s="179">
        <f t="shared" si="403"/>
        <v>0.54107476818079836</v>
      </c>
      <c r="AJ245" s="179">
        <f t="shared" si="404"/>
        <v>0.54107476818079836</v>
      </c>
      <c r="AK245" s="179">
        <f t="shared" si="405"/>
        <v>1.378573902356147</v>
      </c>
      <c r="AM245" s="563">
        <f t="shared" si="406"/>
        <v>290</v>
      </c>
      <c r="AN245" s="472">
        <f t="shared" si="407"/>
        <v>350</v>
      </c>
      <c r="AP245">
        <f t="shared" si="408"/>
        <v>290</v>
      </c>
      <c r="AQ245">
        <f t="shared" si="409"/>
        <v>350</v>
      </c>
      <c r="AS245" s="6">
        <f t="shared" si="340"/>
        <v>2.8571428571428572</v>
      </c>
      <c r="AT245" s="6">
        <f t="shared" si="410"/>
        <v>0.338171730112999</v>
      </c>
      <c r="AU245" s="6">
        <f t="shared" si="414"/>
        <v>2.5189711270298583</v>
      </c>
      <c r="AV245" s="6"/>
      <c r="AW245" s="179">
        <f t="shared" si="415"/>
        <v>0.11836010553954965</v>
      </c>
      <c r="AX245" s="179"/>
      <c r="BA245" s="472">
        <f t="shared" ref="BA245:BA308" si="416">F245*AT245/Vout_ripple*1000</f>
        <v>1.9613960346553942</v>
      </c>
      <c r="BB245" s="6">
        <f t="shared" ref="BB245:BB308" si="417">H245/Efficiency/I245*AU245/Vinripple1</f>
        <v>7.0457332835518791E-2</v>
      </c>
      <c r="CD245" s="581">
        <f t="shared" si="411"/>
        <v>-50</v>
      </c>
      <c r="CE245">
        <f t="shared" si="412"/>
        <v>-50</v>
      </c>
    </row>
    <row r="246" spans="5:83" x14ac:dyDescent="0.2">
      <c r="E246" s="176">
        <v>30</v>
      </c>
      <c r="F246" s="223">
        <f t="shared" si="413"/>
        <v>0.3</v>
      </c>
      <c r="G246" s="223"/>
      <c r="H246" s="223">
        <f t="shared" si="382"/>
        <v>1.5</v>
      </c>
      <c r="I246" s="559">
        <f t="shared" si="383"/>
        <v>48</v>
      </c>
      <c r="J246" s="454">
        <f t="shared" si="384"/>
        <v>15.899999999999999</v>
      </c>
      <c r="K246" s="454">
        <f t="shared" si="385"/>
        <v>63.9</v>
      </c>
      <c r="L246" s="454"/>
      <c r="M246" s="223">
        <f t="shared" si="386"/>
        <v>0.24882629107981219</v>
      </c>
      <c r="N246" s="178">
        <f t="shared" si="387"/>
        <v>8.0619718309859145</v>
      </c>
      <c r="O246" s="178">
        <f t="shared" si="339"/>
        <v>1.5</v>
      </c>
      <c r="P246" s="223">
        <f t="shared" si="388"/>
        <v>1.6123943661971829</v>
      </c>
      <c r="Q246" s="223">
        <f t="shared" si="389"/>
        <v>5</v>
      </c>
      <c r="R246" s="223"/>
      <c r="S246" s="178">
        <f t="shared" si="390"/>
        <v>92.051975066007742</v>
      </c>
      <c r="T246" s="178">
        <f t="shared" si="391"/>
        <v>5</v>
      </c>
      <c r="U246" s="223">
        <f t="shared" si="392"/>
        <v>0.27908805031446543</v>
      </c>
      <c r="V246" s="223">
        <f t="shared" si="393"/>
        <v>0.1744300314465409</v>
      </c>
      <c r="W246" s="223">
        <f t="shared" si="394"/>
        <v>0.52658122700842536</v>
      </c>
      <c r="X246" s="203">
        <f t="shared" si="395"/>
        <v>350</v>
      </c>
      <c r="Y246" s="454">
        <f t="shared" si="396"/>
        <v>350</v>
      </c>
      <c r="AA246" s="223">
        <f t="shared" si="397"/>
        <v>1.1374916163648559</v>
      </c>
      <c r="AB246" s="179">
        <f t="shared" si="398"/>
        <v>2.1462105969148224</v>
      </c>
      <c r="AC246" s="179">
        <f t="shared" si="399"/>
        <v>1.2816806944956125</v>
      </c>
      <c r="AD246" s="179"/>
      <c r="AE246" s="179">
        <f t="shared" si="400"/>
        <v>0.5660377358490567</v>
      </c>
      <c r="AF246" s="563">
        <f t="shared" si="401"/>
        <v>1177.7777777777776</v>
      </c>
      <c r="AG246" s="546">
        <f t="shared" si="402"/>
        <v>8.9150943396226423E-2</v>
      </c>
      <c r="AI246" s="179">
        <f t="shared" si="403"/>
        <v>0.55032457955023495</v>
      </c>
      <c r="AJ246" s="179">
        <f t="shared" si="404"/>
        <v>0.55032457955023495</v>
      </c>
      <c r="AK246" s="179">
        <f t="shared" si="405"/>
        <v>1.3854256144816555</v>
      </c>
      <c r="AM246" s="563">
        <f t="shared" si="406"/>
        <v>300</v>
      </c>
      <c r="AN246" s="472">
        <f t="shared" si="407"/>
        <v>350</v>
      </c>
      <c r="AP246">
        <f t="shared" si="408"/>
        <v>300</v>
      </c>
      <c r="AQ246">
        <f t="shared" si="409"/>
        <v>350</v>
      </c>
      <c r="AS246" s="6">
        <f t="shared" si="340"/>
        <v>2.8571428571428572</v>
      </c>
      <c r="AT246" s="6">
        <f t="shared" si="410"/>
        <v>0.34395286221889687</v>
      </c>
      <c r="AU246" s="6">
        <f t="shared" si="414"/>
        <v>2.5131899949239602</v>
      </c>
      <c r="AV246" s="6"/>
      <c r="AW246" s="179">
        <f t="shared" si="415"/>
        <v>0.1203835017766139</v>
      </c>
      <c r="AX246" s="179"/>
      <c r="BA246" s="472">
        <f t="shared" si="416"/>
        <v>2.063717173313381</v>
      </c>
      <c r="BB246" s="6">
        <f t="shared" si="417"/>
        <v>7.2719617908679382E-2</v>
      </c>
      <c r="CD246" s="581">
        <f t="shared" si="411"/>
        <v>-50</v>
      </c>
      <c r="CE246">
        <f t="shared" si="412"/>
        <v>-50</v>
      </c>
    </row>
    <row r="247" spans="5:83" x14ac:dyDescent="0.2">
      <c r="E247" s="176">
        <v>31</v>
      </c>
      <c r="F247" s="223">
        <f t="shared" si="413"/>
        <v>0.31</v>
      </c>
      <c r="G247" s="223"/>
      <c r="H247" s="223">
        <f t="shared" si="382"/>
        <v>1.55</v>
      </c>
      <c r="I247" s="559">
        <f t="shared" si="383"/>
        <v>48</v>
      </c>
      <c r="J247" s="454">
        <f t="shared" si="384"/>
        <v>15.899999999999999</v>
      </c>
      <c r="K247" s="454">
        <f t="shared" si="385"/>
        <v>63.9</v>
      </c>
      <c r="L247" s="454"/>
      <c r="M247" s="223">
        <f t="shared" si="386"/>
        <v>0.24882629107981219</v>
      </c>
      <c r="N247" s="178">
        <f t="shared" si="387"/>
        <v>8.0619718309859145</v>
      </c>
      <c r="O247" s="178">
        <f t="shared" si="339"/>
        <v>1.55</v>
      </c>
      <c r="P247" s="223">
        <f t="shared" si="388"/>
        <v>1.6123943661971829</v>
      </c>
      <c r="Q247" s="223">
        <f t="shared" si="389"/>
        <v>5</v>
      </c>
      <c r="R247" s="223"/>
      <c r="S247" s="178">
        <f t="shared" si="390"/>
        <v>88.570140424353099</v>
      </c>
      <c r="T247" s="178">
        <f t="shared" si="391"/>
        <v>5</v>
      </c>
      <c r="U247" s="223">
        <f t="shared" si="392"/>
        <v>0.28839098532494761</v>
      </c>
      <c r="V247" s="223">
        <f t="shared" si="393"/>
        <v>0.18024436582809225</v>
      </c>
      <c r="W247" s="223">
        <f t="shared" si="394"/>
        <v>0.54413393457537296</v>
      </c>
      <c r="X247" s="203">
        <f t="shared" si="395"/>
        <v>350</v>
      </c>
      <c r="Y247" s="454">
        <f t="shared" si="396"/>
        <v>350</v>
      </c>
      <c r="AA247" s="223">
        <f t="shared" si="397"/>
        <v>1.1374916163648559</v>
      </c>
      <c r="AB247" s="179">
        <f t="shared" si="398"/>
        <v>2.1462105969148224</v>
      </c>
      <c r="AC247" s="179">
        <f t="shared" si="399"/>
        <v>1.2816806944956125</v>
      </c>
      <c r="AD247" s="179"/>
      <c r="AE247" s="179">
        <f t="shared" si="400"/>
        <v>0.5660377358490567</v>
      </c>
      <c r="AF247" s="563">
        <f t="shared" si="401"/>
        <v>1217.037037037037</v>
      </c>
      <c r="AG247" s="546">
        <f t="shared" si="402"/>
        <v>8.9150943396226423E-2</v>
      </c>
      <c r="AI247" s="179">
        <f t="shared" si="403"/>
        <v>0.55942146987077723</v>
      </c>
      <c r="AJ247" s="179">
        <f t="shared" si="404"/>
        <v>0.55942146987077723</v>
      </c>
      <c r="AK247" s="179">
        <f t="shared" si="405"/>
        <v>1.3921640517561311</v>
      </c>
      <c r="AM247" s="563">
        <f t="shared" si="406"/>
        <v>310</v>
      </c>
      <c r="AN247" s="472">
        <f t="shared" si="407"/>
        <v>350</v>
      </c>
      <c r="AP247">
        <f t="shared" si="408"/>
        <v>310</v>
      </c>
      <c r="AQ247">
        <f t="shared" si="409"/>
        <v>350</v>
      </c>
      <c r="AS247" s="6">
        <f t="shared" si="340"/>
        <v>2.8571428571428572</v>
      </c>
      <c r="AT247" s="6">
        <f t="shared" si="410"/>
        <v>0.34963841866923573</v>
      </c>
      <c r="AU247" s="6">
        <f t="shared" si="414"/>
        <v>2.5075044384736214</v>
      </c>
      <c r="AV247" s="6"/>
      <c r="AW247" s="179">
        <f t="shared" si="415"/>
        <v>0.1223734465342325</v>
      </c>
      <c r="AX247" s="179"/>
      <c r="BA247" s="472">
        <f t="shared" si="416"/>
        <v>2.1677581957492613</v>
      </c>
      <c r="BB247" s="6">
        <f t="shared" si="417"/>
        <v>7.4973608789238283E-2</v>
      </c>
      <c r="CD247" s="581">
        <f t="shared" si="411"/>
        <v>-50</v>
      </c>
      <c r="CE247">
        <f t="shared" si="412"/>
        <v>-50</v>
      </c>
    </row>
    <row r="248" spans="5:83" x14ac:dyDescent="0.2">
      <c r="E248" s="176">
        <v>32</v>
      </c>
      <c r="F248" s="223">
        <f t="shared" si="413"/>
        <v>0.32</v>
      </c>
      <c r="G248" s="223"/>
      <c r="H248" s="223">
        <f t="shared" ref="H248:H279" si="418">F248*Vout</f>
        <v>1.6</v>
      </c>
      <c r="I248" s="559">
        <f t="shared" ref="I248:I279" si="419">VIN_max</f>
        <v>48</v>
      </c>
      <c r="J248" s="454">
        <f t="shared" ref="J248:J279" si="420">(T248+Vfwd1)*Nps</f>
        <v>15.899999999999999</v>
      </c>
      <c r="K248" s="454">
        <f t="shared" ref="K248:K279" si="421">(Vout+Vfwd1)*Nps+I248</f>
        <v>63.9</v>
      </c>
      <c r="L248" s="454"/>
      <c r="M248" s="223">
        <f t="shared" ref="M248:M279" si="422">(Vout+Vfwd1)*Nps/((Vout+Vfwd1)*Nps+I248)</f>
        <v>0.24882629107981219</v>
      </c>
      <c r="N248" s="178">
        <f t="shared" ref="N248:N279" si="423">M248*I248*Isw_max*0.5*Efficiency</f>
        <v>8.0619718309859145</v>
      </c>
      <c r="O248" s="178">
        <f t="shared" si="339"/>
        <v>1.6</v>
      </c>
      <c r="P248" s="223">
        <f t="shared" ref="P248:P279" si="424">N248/Vout</f>
        <v>1.6123943661971829</v>
      </c>
      <c r="Q248" s="223">
        <f t="shared" ref="Q248:Q279" si="425">MIN(Vout,N248/F248)</f>
        <v>5</v>
      </c>
      <c r="R248" s="223"/>
      <c r="S248" s="178">
        <f t="shared" ref="S248:S279" si="426">(SQRT(Isw_max^2*Nps^2*I248^2+4*Isw_max*F248/Efficiency*(Nps^2*Vfwd1*I248-Nps*I248^2)+4*(F248/Efficiency)^2*Nps^2*Vfwd1^2+8*(F248/Efficiency)^2*Nps*Vfwd1*I248+4*(F248/Efficiency)^2*I248^2)-2*F248/Efficiency*I248-2*F248/Efficiency*Nps*Vfwd1+Isw_max*Nps*I248)/(4*F248/Efficiency*Nps)</f>
        <v>85.30607078978997</v>
      </c>
      <c r="T248" s="178">
        <f t="shared" ref="T248:T279" si="427">MIN(Vout, S248)</f>
        <v>5</v>
      </c>
      <c r="U248" s="223">
        <f t="shared" ref="U248:U279" si="428">MIN(2*Vout*F248/(Efficiency*I248*M248), Isw_max)</f>
        <v>0.2976939203354298</v>
      </c>
      <c r="V248" s="223">
        <f t="shared" ref="V248:V279" si="429">L*U248/I248*1000000</f>
        <v>0.18605870020964363</v>
      </c>
      <c r="W248" s="223">
        <f t="shared" ref="W248:W279" si="430">L*U248/J248*1000000</f>
        <v>0.56168664214232045</v>
      </c>
      <c r="X248" s="203">
        <f t="shared" ref="X248:X279" si="431">IF(1/((350000*L)*(1/I248+1/J248))&gt;Isw_min, 350, 0.001/((Isw_min*L)*(1/I248+1/J248)))</f>
        <v>350</v>
      </c>
      <c r="Y248" s="454">
        <f t="shared" si="396"/>
        <v>350</v>
      </c>
      <c r="AA248" s="223">
        <f t="shared" ref="AA248:AA279" si="432">1/((X248*1000*L)*(1/I248+1/J248))</f>
        <v>1.1374916163648559</v>
      </c>
      <c r="AB248" s="179">
        <f t="shared" ref="AB248:AB279" si="433">L*AA248/J248*1000000</f>
        <v>2.1462105969148224</v>
      </c>
      <c r="AC248" s="179">
        <f t="shared" ref="AC248:AC279" si="434">0.5*AB248*AA248*Nps*X248/1000</f>
        <v>1.2816806944956125</v>
      </c>
      <c r="AD248" s="179"/>
      <c r="AE248" s="179">
        <f t="shared" ref="AE248:AE279" si="435">L*Isw_min/J248*1000000</f>
        <v>0.5660377358490567</v>
      </c>
      <c r="AF248" s="563">
        <f t="shared" ref="AF248:AF279" si="436">MAX(10000,F248/(0.5*AE248/1000000*Isw_min*Nps))/1000</f>
        <v>1256.2962962962961</v>
      </c>
      <c r="AG248" s="546">
        <f t="shared" ref="AG248:AG279" si="437">0.5*AE248/1000000*Isw_min*Nps*X248*1000</f>
        <v>8.9150943396226423E-2</v>
      </c>
      <c r="AI248" s="179">
        <f t="shared" ref="AI248:AI279" si="438">SQRT(F248/(0.5*L/J248*Fsw_DCM*Nps))</f>
        <v>0.56837278176177564</v>
      </c>
      <c r="AJ248" s="179">
        <f t="shared" ref="AJ248:AJ279" si="439">MAX(IF(F248&gt;AC248,U248,AI248),Isw_min)</f>
        <v>0.56837278176177564</v>
      </c>
      <c r="AK248" s="179">
        <f t="shared" ref="AK248:AK279" si="440">IF(F248&gt;AG248, (AJ248-Isw_min)/1.08*0.8+1.2, AF248*0.2/350+1)</f>
        <v>1.3987946531568709</v>
      </c>
      <c r="AM248" s="563">
        <f t="shared" ref="AM248:AM279" si="441">F248*1000</f>
        <v>320</v>
      </c>
      <c r="AN248" s="472">
        <f t="shared" ref="AN248:AN279" si="442">IF(F248&gt;AG248, Y248, AF248)</f>
        <v>350</v>
      </c>
      <c r="AP248">
        <f t="shared" ref="AP248:AP279" si="443">IF(H248&gt;N248, "",AM248)</f>
        <v>320</v>
      </c>
      <c r="AQ248">
        <f t="shared" ref="AQ248:AQ279" si="444">IF(H248&gt;N248, "",AN248)</f>
        <v>350</v>
      </c>
      <c r="AS248" s="6">
        <f t="shared" si="340"/>
        <v>2.8571428571428572</v>
      </c>
      <c r="AT248" s="6">
        <f t="shared" ref="AT248:AT279" si="445">L*AJ248/I248*1000000</f>
        <v>0.3552329886011098</v>
      </c>
      <c r="AU248" s="6">
        <f t="shared" si="414"/>
        <v>2.5019098685417474</v>
      </c>
      <c r="AV248" s="6"/>
      <c r="AW248" s="179">
        <f t="shared" si="415"/>
        <v>0.12433154601038843</v>
      </c>
      <c r="AX248" s="179"/>
      <c r="BA248" s="472">
        <f t="shared" si="416"/>
        <v>2.2734911270471025</v>
      </c>
      <c r="BB248" s="6">
        <f t="shared" si="417"/>
        <v>7.7219440387090971E-2</v>
      </c>
      <c r="CD248" s="581">
        <f t="shared" ref="CD248:CD279" si="446">IF(ABS(F248-Ioutmax_Vinmax)&lt;Iout/200, AN248, -50)</f>
        <v>-50</v>
      </c>
      <c r="CE248">
        <f t="shared" ref="CE248:CE279" si="447">IF(ABS(F248-Ioutmax_Vinmin)&lt;Iout/200, N248*BZ248, -50)</f>
        <v>-50</v>
      </c>
    </row>
    <row r="249" spans="5:83" x14ac:dyDescent="0.2">
      <c r="E249" s="176">
        <v>33</v>
      </c>
      <c r="F249" s="223">
        <f t="shared" ref="F249:F280" si="448">IF(PLOT_TYPE=1, E249/100*Iout_max, min_I*EXP(N249*rr/100))</f>
        <v>0.33</v>
      </c>
      <c r="G249" s="223"/>
      <c r="H249" s="223">
        <f t="shared" si="418"/>
        <v>1.6500000000000001</v>
      </c>
      <c r="I249" s="559">
        <f t="shared" si="419"/>
        <v>48</v>
      </c>
      <c r="J249" s="454">
        <f t="shared" si="420"/>
        <v>15.899999999999999</v>
      </c>
      <c r="K249" s="454">
        <f t="shared" si="421"/>
        <v>63.9</v>
      </c>
      <c r="L249" s="454"/>
      <c r="M249" s="223">
        <f t="shared" si="422"/>
        <v>0.24882629107981219</v>
      </c>
      <c r="N249" s="178">
        <f t="shared" si="423"/>
        <v>8.0619718309859145</v>
      </c>
      <c r="O249" s="178">
        <f t="shared" si="339"/>
        <v>1.6500000000000001</v>
      </c>
      <c r="P249" s="223">
        <f t="shared" si="424"/>
        <v>1.6123943661971829</v>
      </c>
      <c r="Q249" s="223">
        <f t="shared" si="425"/>
        <v>5</v>
      </c>
      <c r="R249" s="223"/>
      <c r="S249" s="178">
        <f t="shared" si="426"/>
        <v>82.23997182415556</v>
      </c>
      <c r="T249" s="178">
        <f t="shared" si="427"/>
        <v>5</v>
      </c>
      <c r="U249" s="223">
        <f t="shared" si="428"/>
        <v>0.30699685534591198</v>
      </c>
      <c r="V249" s="223">
        <f t="shared" si="429"/>
        <v>0.19187303459119501</v>
      </c>
      <c r="W249" s="223">
        <f t="shared" si="430"/>
        <v>0.57923934970926805</v>
      </c>
      <c r="X249" s="203">
        <f t="shared" si="431"/>
        <v>350</v>
      </c>
      <c r="Y249" s="454">
        <f t="shared" si="396"/>
        <v>350</v>
      </c>
      <c r="AA249" s="223">
        <f t="shared" si="432"/>
        <v>1.1374916163648559</v>
      </c>
      <c r="AB249" s="179">
        <f t="shared" si="433"/>
        <v>2.1462105969148224</v>
      </c>
      <c r="AC249" s="179">
        <f t="shared" si="434"/>
        <v>1.2816806944956125</v>
      </c>
      <c r="AD249" s="179"/>
      <c r="AE249" s="179">
        <f t="shared" si="435"/>
        <v>0.5660377358490567</v>
      </c>
      <c r="AF249" s="563">
        <f t="shared" si="436"/>
        <v>1295.5555555555552</v>
      </c>
      <c r="AG249" s="546">
        <f t="shared" si="437"/>
        <v>8.9150943396226423E-2</v>
      </c>
      <c r="AI249" s="179">
        <f t="shared" si="438"/>
        <v>0.57718528839780481</v>
      </c>
      <c r="AJ249" s="179">
        <f t="shared" si="439"/>
        <v>0.57718528839780481</v>
      </c>
      <c r="AK249" s="179">
        <f t="shared" si="440"/>
        <v>1.4053224358502256</v>
      </c>
      <c r="AM249" s="563">
        <f t="shared" si="441"/>
        <v>330</v>
      </c>
      <c r="AN249" s="472">
        <f t="shared" si="442"/>
        <v>350</v>
      </c>
      <c r="AP249">
        <f t="shared" si="443"/>
        <v>330</v>
      </c>
      <c r="AQ249">
        <f t="shared" si="444"/>
        <v>350</v>
      </c>
      <c r="AS249" s="6">
        <f t="shared" si="340"/>
        <v>2.8571428571428572</v>
      </c>
      <c r="AT249" s="6">
        <f t="shared" si="445"/>
        <v>0.360740805248628</v>
      </c>
      <c r="AU249" s="6">
        <f t="shared" si="414"/>
        <v>2.4964020518942291</v>
      </c>
      <c r="AV249" s="6"/>
      <c r="AW249" s="179">
        <f t="shared" si="415"/>
        <v>0.12625928183701979</v>
      </c>
      <c r="AX249" s="179"/>
      <c r="BA249" s="472">
        <f t="shared" si="416"/>
        <v>2.3808893146409451</v>
      </c>
      <c r="BB249" s="6">
        <f t="shared" si="417"/>
        <v>7.9457241235059373E-2</v>
      </c>
      <c r="CD249" s="581">
        <f t="shared" si="446"/>
        <v>-50</v>
      </c>
      <c r="CE249">
        <f t="shared" si="447"/>
        <v>-50</v>
      </c>
    </row>
    <row r="250" spans="5:83" x14ac:dyDescent="0.2">
      <c r="E250" s="176">
        <v>34</v>
      </c>
      <c r="F250" s="223">
        <f t="shared" si="448"/>
        <v>0.34</v>
      </c>
      <c r="G250" s="223"/>
      <c r="H250" s="223">
        <f t="shared" si="418"/>
        <v>1.7000000000000002</v>
      </c>
      <c r="I250" s="559">
        <f t="shared" si="419"/>
        <v>48</v>
      </c>
      <c r="J250" s="454">
        <f t="shared" si="420"/>
        <v>15.899999999999999</v>
      </c>
      <c r="K250" s="454">
        <f t="shared" si="421"/>
        <v>63.9</v>
      </c>
      <c r="L250" s="454"/>
      <c r="M250" s="223">
        <f t="shared" si="422"/>
        <v>0.24882629107981219</v>
      </c>
      <c r="N250" s="178">
        <f t="shared" si="423"/>
        <v>8.0619718309859145</v>
      </c>
      <c r="O250" s="178">
        <f t="shared" si="339"/>
        <v>1.7000000000000002</v>
      </c>
      <c r="P250" s="223">
        <f t="shared" si="424"/>
        <v>1.6123943661971829</v>
      </c>
      <c r="Q250" s="223">
        <f t="shared" si="425"/>
        <v>5</v>
      </c>
      <c r="R250" s="223"/>
      <c r="S250" s="178">
        <f t="shared" si="426"/>
        <v>79.354377988313445</v>
      </c>
      <c r="T250" s="178">
        <f t="shared" si="427"/>
        <v>5</v>
      </c>
      <c r="U250" s="223">
        <f t="shared" si="428"/>
        <v>0.31629979035639416</v>
      </c>
      <c r="V250" s="223">
        <f t="shared" si="429"/>
        <v>0.19768736897274636</v>
      </c>
      <c r="W250" s="223">
        <f t="shared" si="430"/>
        <v>0.59679205727621543</v>
      </c>
      <c r="X250" s="203">
        <f t="shared" si="431"/>
        <v>350</v>
      </c>
      <c r="Y250" s="454">
        <f t="shared" si="396"/>
        <v>350</v>
      </c>
      <c r="AA250" s="223">
        <f t="shared" si="432"/>
        <v>1.1374916163648559</v>
      </c>
      <c r="AB250" s="179">
        <f t="shared" si="433"/>
        <v>2.1462105969148224</v>
      </c>
      <c r="AC250" s="179">
        <f t="shared" si="434"/>
        <v>1.2816806944956125</v>
      </c>
      <c r="AD250" s="179"/>
      <c r="AE250" s="179">
        <f t="shared" si="435"/>
        <v>0.5660377358490567</v>
      </c>
      <c r="AF250" s="563">
        <f t="shared" si="436"/>
        <v>1334.8148148148146</v>
      </c>
      <c r="AG250" s="546">
        <f t="shared" si="437"/>
        <v>8.9150943396226423E-2</v>
      </c>
      <c r="AI250" s="179">
        <f t="shared" si="438"/>
        <v>0.58586525348248397</v>
      </c>
      <c r="AJ250" s="179">
        <f t="shared" si="439"/>
        <v>0.58586525348248397</v>
      </c>
      <c r="AK250" s="179">
        <f t="shared" si="440"/>
        <v>1.4117520396166547</v>
      </c>
      <c r="AM250" s="563">
        <f t="shared" si="441"/>
        <v>340</v>
      </c>
      <c r="AN250" s="472">
        <f t="shared" si="442"/>
        <v>350</v>
      </c>
      <c r="AP250">
        <f t="shared" si="443"/>
        <v>340</v>
      </c>
      <c r="AQ250">
        <f t="shared" si="444"/>
        <v>350</v>
      </c>
      <c r="AS250" s="6">
        <f t="shared" si="340"/>
        <v>2.8571428571428572</v>
      </c>
      <c r="AT250" s="6">
        <f t="shared" si="445"/>
        <v>0.36616578342655248</v>
      </c>
      <c r="AU250" s="6">
        <f t="shared" si="414"/>
        <v>2.4909770737163046</v>
      </c>
      <c r="AV250" s="6"/>
      <c r="AW250" s="179">
        <f t="shared" si="415"/>
        <v>0.12815802419929337</v>
      </c>
      <c r="AX250" s="179"/>
      <c r="BA250" s="472">
        <f t="shared" si="416"/>
        <v>2.4899273273005571</v>
      </c>
      <c r="BB250" s="6">
        <f t="shared" si="417"/>
        <v>8.1687133976036205E-2</v>
      </c>
      <c r="CD250" s="581">
        <f t="shared" si="446"/>
        <v>-50</v>
      </c>
      <c r="CE250">
        <f t="shared" si="447"/>
        <v>-50</v>
      </c>
    </row>
    <row r="251" spans="5:83" x14ac:dyDescent="0.2">
      <c r="E251" s="176">
        <v>35</v>
      </c>
      <c r="F251" s="223">
        <f t="shared" si="448"/>
        <v>0.35</v>
      </c>
      <c r="G251" s="223"/>
      <c r="H251" s="223">
        <f t="shared" si="418"/>
        <v>1.75</v>
      </c>
      <c r="I251" s="559">
        <f t="shared" si="419"/>
        <v>48</v>
      </c>
      <c r="J251" s="454">
        <f t="shared" si="420"/>
        <v>15.899999999999999</v>
      </c>
      <c r="K251" s="454">
        <f t="shared" si="421"/>
        <v>63.9</v>
      </c>
      <c r="L251" s="454"/>
      <c r="M251" s="223">
        <f t="shared" si="422"/>
        <v>0.24882629107981219</v>
      </c>
      <c r="N251" s="178">
        <f t="shared" si="423"/>
        <v>8.0619718309859145</v>
      </c>
      <c r="O251" s="178">
        <f t="shared" si="339"/>
        <v>1.75</v>
      </c>
      <c r="P251" s="223">
        <f t="shared" si="424"/>
        <v>1.6123943661971829</v>
      </c>
      <c r="Q251" s="223">
        <f t="shared" si="425"/>
        <v>5</v>
      </c>
      <c r="R251" s="223"/>
      <c r="S251" s="178">
        <f t="shared" si="426"/>
        <v>76.633819857976704</v>
      </c>
      <c r="T251" s="178">
        <f t="shared" si="427"/>
        <v>5</v>
      </c>
      <c r="U251" s="223">
        <f t="shared" si="428"/>
        <v>0.32560272536687629</v>
      </c>
      <c r="V251" s="223">
        <f t="shared" si="429"/>
        <v>0.20350170335429768</v>
      </c>
      <c r="W251" s="223">
        <f t="shared" si="430"/>
        <v>0.61434476484316292</v>
      </c>
      <c r="X251" s="203">
        <f t="shared" si="431"/>
        <v>350</v>
      </c>
      <c r="Y251" s="454">
        <f t="shared" si="396"/>
        <v>350</v>
      </c>
      <c r="AA251" s="223">
        <f t="shared" si="432"/>
        <v>1.1374916163648559</v>
      </c>
      <c r="AB251" s="179">
        <f t="shared" si="433"/>
        <v>2.1462105969148224</v>
      </c>
      <c r="AC251" s="179">
        <f t="shared" si="434"/>
        <v>1.2816806944956125</v>
      </c>
      <c r="AD251" s="179"/>
      <c r="AE251" s="179">
        <f t="shared" si="435"/>
        <v>0.5660377358490567</v>
      </c>
      <c r="AF251" s="563">
        <f t="shared" si="436"/>
        <v>1374.0740740740737</v>
      </c>
      <c r="AG251" s="546">
        <f t="shared" si="437"/>
        <v>8.9150943396226423E-2</v>
      </c>
      <c r="AI251" s="179">
        <f t="shared" si="438"/>
        <v>0.59441848333756686</v>
      </c>
      <c r="AJ251" s="179">
        <f t="shared" si="439"/>
        <v>0.59441848333756686</v>
      </c>
      <c r="AK251" s="179">
        <f t="shared" si="440"/>
        <v>1.4180877654352346</v>
      </c>
      <c r="AM251" s="563">
        <f t="shared" si="441"/>
        <v>350</v>
      </c>
      <c r="AN251" s="472">
        <f t="shared" si="442"/>
        <v>350</v>
      </c>
      <c r="AP251">
        <f t="shared" si="443"/>
        <v>350</v>
      </c>
      <c r="AQ251">
        <f t="shared" si="444"/>
        <v>350</v>
      </c>
      <c r="AS251" s="6">
        <f t="shared" si="340"/>
        <v>2.8571428571428572</v>
      </c>
      <c r="AT251" s="6">
        <f t="shared" si="445"/>
        <v>0.3715115520859793</v>
      </c>
      <c r="AU251" s="6">
        <f t="shared" si="414"/>
        <v>2.4856313050568781</v>
      </c>
      <c r="AV251" s="6"/>
      <c r="AW251" s="179">
        <f t="shared" si="415"/>
        <v>0.13002904323009276</v>
      </c>
      <c r="AX251" s="179"/>
      <c r="BA251" s="472">
        <f t="shared" si="416"/>
        <v>2.6005808646018553</v>
      </c>
      <c r="BB251" s="6">
        <f t="shared" si="417"/>
        <v>8.3909235799566662E-2</v>
      </c>
      <c r="CD251" s="581">
        <f t="shared" si="446"/>
        <v>-50</v>
      </c>
      <c r="CE251">
        <f t="shared" si="447"/>
        <v>-50</v>
      </c>
    </row>
    <row r="252" spans="5:83" x14ac:dyDescent="0.2">
      <c r="E252" s="176">
        <v>36</v>
      </c>
      <c r="F252" s="223">
        <f t="shared" si="448"/>
        <v>0.36</v>
      </c>
      <c r="G252" s="223"/>
      <c r="H252" s="223">
        <f t="shared" si="418"/>
        <v>1.7999999999999998</v>
      </c>
      <c r="I252" s="559">
        <f t="shared" si="419"/>
        <v>48</v>
      </c>
      <c r="J252" s="454">
        <f t="shared" si="420"/>
        <v>15.899999999999999</v>
      </c>
      <c r="K252" s="454">
        <f t="shared" si="421"/>
        <v>63.9</v>
      </c>
      <c r="L252" s="454"/>
      <c r="M252" s="223">
        <f t="shared" si="422"/>
        <v>0.24882629107981219</v>
      </c>
      <c r="N252" s="178">
        <f t="shared" si="423"/>
        <v>8.0619718309859145</v>
      </c>
      <c r="O252" s="178">
        <f t="shared" si="339"/>
        <v>1.7999999999999998</v>
      </c>
      <c r="P252" s="223">
        <f t="shared" si="424"/>
        <v>1.6123943661971829</v>
      </c>
      <c r="Q252" s="223">
        <f t="shared" si="425"/>
        <v>5</v>
      </c>
      <c r="R252" s="223"/>
      <c r="S252" s="178">
        <f t="shared" si="426"/>
        <v>74.064546886936569</v>
      </c>
      <c r="T252" s="178">
        <f t="shared" si="427"/>
        <v>5</v>
      </c>
      <c r="U252" s="223">
        <f t="shared" si="428"/>
        <v>0.33490566037735847</v>
      </c>
      <c r="V252" s="223">
        <f t="shared" si="429"/>
        <v>0.20931603773584903</v>
      </c>
      <c r="W252" s="223">
        <f t="shared" si="430"/>
        <v>0.63189747241011041</v>
      </c>
      <c r="X252" s="203">
        <f t="shared" si="431"/>
        <v>350</v>
      </c>
      <c r="Y252" s="454">
        <f t="shared" si="396"/>
        <v>350</v>
      </c>
      <c r="AA252" s="223">
        <f t="shared" si="432"/>
        <v>1.1374916163648559</v>
      </c>
      <c r="AB252" s="179">
        <f t="shared" si="433"/>
        <v>2.1462105969148224</v>
      </c>
      <c r="AC252" s="179">
        <f t="shared" si="434"/>
        <v>1.2816806944956125</v>
      </c>
      <c r="AD252" s="179"/>
      <c r="AE252" s="179">
        <f t="shared" si="435"/>
        <v>0.5660377358490567</v>
      </c>
      <c r="AF252" s="563">
        <f t="shared" si="436"/>
        <v>1413.333333333333</v>
      </c>
      <c r="AG252" s="546">
        <f t="shared" si="437"/>
        <v>8.9150943396226423E-2</v>
      </c>
      <c r="AI252" s="179">
        <f t="shared" si="438"/>
        <v>0.60285037233841976</v>
      </c>
      <c r="AJ252" s="179">
        <f t="shared" si="439"/>
        <v>0.60285037233841976</v>
      </c>
      <c r="AK252" s="179">
        <f t="shared" si="440"/>
        <v>1.4243336091395702</v>
      </c>
      <c r="AM252" s="563">
        <f t="shared" si="441"/>
        <v>360</v>
      </c>
      <c r="AN252" s="472">
        <f t="shared" si="442"/>
        <v>350</v>
      </c>
      <c r="AP252">
        <f t="shared" si="443"/>
        <v>360</v>
      </c>
      <c r="AQ252">
        <f t="shared" si="444"/>
        <v>350</v>
      </c>
      <c r="AS252" s="6">
        <f t="shared" si="340"/>
        <v>2.8571428571428572</v>
      </c>
      <c r="AT252" s="6">
        <f t="shared" si="445"/>
        <v>0.37678148271151241</v>
      </c>
      <c r="AU252" s="6">
        <f t="shared" si="414"/>
        <v>2.4803613744313449</v>
      </c>
      <c r="AV252" s="6"/>
      <c r="AW252" s="179">
        <f t="shared" si="415"/>
        <v>0.13187351894902935</v>
      </c>
      <c r="AX252" s="179"/>
      <c r="BA252" s="472">
        <f t="shared" si="416"/>
        <v>2.7128266755228889</v>
      </c>
      <c r="BB252" s="6">
        <f t="shared" si="417"/>
        <v>8.6123658834421676E-2</v>
      </c>
      <c r="CD252" s="581">
        <f t="shared" si="446"/>
        <v>-50</v>
      </c>
      <c r="CE252">
        <f t="shared" si="447"/>
        <v>-50</v>
      </c>
    </row>
    <row r="253" spans="5:83" x14ac:dyDescent="0.2">
      <c r="E253" s="176">
        <v>37</v>
      </c>
      <c r="F253" s="223">
        <f t="shared" si="448"/>
        <v>0.37</v>
      </c>
      <c r="G253" s="223"/>
      <c r="H253" s="223">
        <f t="shared" si="418"/>
        <v>1.85</v>
      </c>
      <c r="I253" s="559">
        <f t="shared" si="419"/>
        <v>48</v>
      </c>
      <c r="J253" s="454">
        <f t="shared" si="420"/>
        <v>15.899999999999999</v>
      </c>
      <c r="K253" s="454">
        <f t="shared" si="421"/>
        <v>63.9</v>
      </c>
      <c r="L253" s="454"/>
      <c r="M253" s="223">
        <f t="shared" si="422"/>
        <v>0.24882629107981219</v>
      </c>
      <c r="N253" s="178">
        <f t="shared" si="423"/>
        <v>8.0619718309859145</v>
      </c>
      <c r="O253" s="178">
        <f t="shared" si="339"/>
        <v>1.85</v>
      </c>
      <c r="P253" s="223">
        <f t="shared" si="424"/>
        <v>1.6123943661971829</v>
      </c>
      <c r="Q253" s="223">
        <f t="shared" si="425"/>
        <v>5</v>
      </c>
      <c r="R253" s="223"/>
      <c r="S253" s="178">
        <f t="shared" si="426"/>
        <v>71.634295127648372</v>
      </c>
      <c r="T253" s="178">
        <f t="shared" si="427"/>
        <v>5</v>
      </c>
      <c r="U253" s="223">
        <f t="shared" si="428"/>
        <v>0.34420859538784071</v>
      </c>
      <c r="V253" s="223">
        <f t="shared" si="429"/>
        <v>0.21513037211740046</v>
      </c>
      <c r="W253" s="223">
        <f t="shared" si="430"/>
        <v>0.64945017997705801</v>
      </c>
      <c r="X253" s="203">
        <f t="shared" si="431"/>
        <v>350</v>
      </c>
      <c r="Y253" s="454">
        <f t="shared" si="396"/>
        <v>350</v>
      </c>
      <c r="AA253" s="223">
        <f t="shared" si="432"/>
        <v>1.1374916163648559</v>
      </c>
      <c r="AB253" s="179">
        <f t="shared" si="433"/>
        <v>2.1462105969148224</v>
      </c>
      <c r="AC253" s="179">
        <f t="shared" si="434"/>
        <v>1.2816806944956125</v>
      </c>
      <c r="AD253" s="179"/>
      <c r="AE253" s="179">
        <f t="shared" si="435"/>
        <v>0.5660377358490567</v>
      </c>
      <c r="AF253" s="563">
        <f t="shared" si="436"/>
        <v>1452.5925925925924</v>
      </c>
      <c r="AG253" s="546">
        <f t="shared" si="437"/>
        <v>8.9150943396226423E-2</v>
      </c>
      <c r="AI253" s="179">
        <f t="shared" si="438"/>
        <v>0.61116594270607838</v>
      </c>
      <c r="AJ253" s="179">
        <f t="shared" si="439"/>
        <v>0.61116594270607838</v>
      </c>
      <c r="AK253" s="179">
        <f t="shared" si="440"/>
        <v>1.4304932908933914</v>
      </c>
      <c r="AM253" s="563">
        <f t="shared" si="441"/>
        <v>370</v>
      </c>
      <c r="AN253" s="472">
        <f t="shared" si="442"/>
        <v>350</v>
      </c>
      <c r="AP253">
        <f t="shared" si="443"/>
        <v>370</v>
      </c>
      <c r="AQ253">
        <f t="shared" si="444"/>
        <v>350</v>
      </c>
      <c r="AS253" s="6">
        <f t="shared" si="340"/>
        <v>2.8571428571428572</v>
      </c>
      <c r="AT253" s="6">
        <f t="shared" si="445"/>
        <v>0.38197871419129897</v>
      </c>
      <c r="AU253" s="6">
        <f t="shared" si="414"/>
        <v>2.4751641429515581</v>
      </c>
      <c r="AV253" s="6"/>
      <c r="AW253" s="179">
        <f t="shared" si="415"/>
        <v>0.13369254996695465</v>
      </c>
      <c r="AX253" s="179"/>
      <c r="BA253" s="472">
        <f t="shared" si="416"/>
        <v>2.8266424850156127</v>
      </c>
      <c r="BB253" s="6">
        <f t="shared" si="417"/>
        <v>8.8330510502707987E-2</v>
      </c>
      <c r="CD253" s="581">
        <f t="shared" si="446"/>
        <v>-50</v>
      </c>
      <c r="CE253">
        <f t="shared" si="447"/>
        <v>-50</v>
      </c>
    </row>
    <row r="254" spans="5:83" x14ac:dyDescent="0.2">
      <c r="E254" s="176">
        <v>38</v>
      </c>
      <c r="F254" s="223">
        <f t="shared" si="448"/>
        <v>0.38</v>
      </c>
      <c r="G254" s="223"/>
      <c r="H254" s="223">
        <f t="shared" si="418"/>
        <v>1.9</v>
      </c>
      <c r="I254" s="559">
        <f t="shared" si="419"/>
        <v>48</v>
      </c>
      <c r="J254" s="454">
        <f t="shared" si="420"/>
        <v>15.899999999999999</v>
      </c>
      <c r="K254" s="454">
        <f t="shared" si="421"/>
        <v>63.9</v>
      </c>
      <c r="L254" s="454"/>
      <c r="M254" s="223">
        <f t="shared" si="422"/>
        <v>0.24882629107981219</v>
      </c>
      <c r="N254" s="178">
        <f t="shared" si="423"/>
        <v>8.0619718309859145</v>
      </c>
      <c r="O254" s="178">
        <f t="shared" si="339"/>
        <v>1.9</v>
      </c>
      <c r="P254" s="223">
        <f t="shared" si="424"/>
        <v>1.6123943661971829</v>
      </c>
      <c r="Q254" s="223">
        <f t="shared" si="425"/>
        <v>5</v>
      </c>
      <c r="R254" s="223"/>
      <c r="S254" s="178">
        <f t="shared" si="426"/>
        <v>69.332091627557546</v>
      </c>
      <c r="T254" s="178">
        <f t="shared" si="427"/>
        <v>5</v>
      </c>
      <c r="U254" s="223">
        <f t="shared" si="428"/>
        <v>0.35351153039832284</v>
      </c>
      <c r="V254" s="223">
        <f t="shared" si="429"/>
        <v>0.22094470649895179</v>
      </c>
      <c r="W254" s="223">
        <f t="shared" si="430"/>
        <v>0.6670028875440055</v>
      </c>
      <c r="X254" s="203">
        <f t="shared" si="431"/>
        <v>350</v>
      </c>
      <c r="Y254" s="454">
        <f t="shared" si="396"/>
        <v>350</v>
      </c>
      <c r="AA254" s="223">
        <f t="shared" si="432"/>
        <v>1.1374916163648559</v>
      </c>
      <c r="AB254" s="179">
        <f t="shared" si="433"/>
        <v>2.1462105969148224</v>
      </c>
      <c r="AC254" s="179">
        <f t="shared" si="434"/>
        <v>1.2816806944956125</v>
      </c>
      <c r="AD254" s="179"/>
      <c r="AE254" s="179">
        <f t="shared" si="435"/>
        <v>0.5660377358490567</v>
      </c>
      <c r="AF254" s="563">
        <f t="shared" si="436"/>
        <v>1491.8518518518517</v>
      </c>
      <c r="AG254" s="546">
        <f t="shared" si="437"/>
        <v>8.9150943396226423E-2</v>
      </c>
      <c r="AI254" s="179">
        <f t="shared" si="438"/>
        <v>0.61936987948966937</v>
      </c>
      <c r="AJ254" s="179">
        <f t="shared" si="439"/>
        <v>0.61936987948966937</v>
      </c>
      <c r="AK254" s="179">
        <f t="shared" si="440"/>
        <v>1.4365702811034589</v>
      </c>
      <c r="AM254" s="563">
        <f t="shared" si="441"/>
        <v>380</v>
      </c>
      <c r="AN254" s="472">
        <f t="shared" si="442"/>
        <v>350</v>
      </c>
      <c r="AP254">
        <f t="shared" si="443"/>
        <v>380</v>
      </c>
      <c r="AQ254">
        <f t="shared" si="444"/>
        <v>350</v>
      </c>
      <c r="AS254" s="6">
        <f t="shared" si="340"/>
        <v>2.8571428571428572</v>
      </c>
      <c r="AT254" s="6">
        <f t="shared" si="445"/>
        <v>0.38710617468104336</v>
      </c>
      <c r="AU254" s="6">
        <f t="shared" si="414"/>
        <v>2.4700366824618136</v>
      </c>
      <c r="AV254" s="6"/>
      <c r="AW254" s="179">
        <f t="shared" si="415"/>
        <v>0.13548716113836518</v>
      </c>
      <c r="AX254" s="179"/>
      <c r="BA254" s="472">
        <f t="shared" si="416"/>
        <v>2.94200692757593</v>
      </c>
      <c r="BB254" s="6">
        <f t="shared" si="417"/>
        <v>9.0529893840228498E-2</v>
      </c>
      <c r="CD254" s="581">
        <f t="shared" si="446"/>
        <v>-50</v>
      </c>
      <c r="CE254">
        <f t="shared" si="447"/>
        <v>-50</v>
      </c>
    </row>
    <row r="255" spans="5:83" x14ac:dyDescent="0.2">
      <c r="E255" s="176">
        <v>39</v>
      </c>
      <c r="F255" s="223">
        <f t="shared" si="448"/>
        <v>0.39</v>
      </c>
      <c r="G255" s="223"/>
      <c r="H255" s="223">
        <f t="shared" si="418"/>
        <v>1.9500000000000002</v>
      </c>
      <c r="I255" s="559">
        <f t="shared" si="419"/>
        <v>48</v>
      </c>
      <c r="J255" s="454">
        <f t="shared" si="420"/>
        <v>15.899999999999999</v>
      </c>
      <c r="K255" s="454">
        <f t="shared" si="421"/>
        <v>63.9</v>
      </c>
      <c r="L255" s="454"/>
      <c r="M255" s="223">
        <f t="shared" si="422"/>
        <v>0.24882629107981219</v>
      </c>
      <c r="N255" s="178">
        <f t="shared" si="423"/>
        <v>8.0619718309859145</v>
      </c>
      <c r="O255" s="178">
        <f t="shared" si="339"/>
        <v>1.9500000000000002</v>
      </c>
      <c r="P255" s="223">
        <f t="shared" si="424"/>
        <v>1.6123943661971829</v>
      </c>
      <c r="Q255" s="223">
        <f t="shared" si="425"/>
        <v>5</v>
      </c>
      <c r="R255" s="223"/>
      <c r="S255" s="178">
        <f t="shared" si="426"/>
        <v>67.14808891834241</v>
      </c>
      <c r="T255" s="178">
        <f t="shared" si="427"/>
        <v>5</v>
      </c>
      <c r="U255" s="223">
        <f t="shared" si="428"/>
        <v>0.36281446540880508</v>
      </c>
      <c r="V255" s="223">
        <f t="shared" si="429"/>
        <v>0.22675904088050317</v>
      </c>
      <c r="W255" s="223">
        <f t="shared" si="430"/>
        <v>0.68455559511095299</v>
      </c>
      <c r="X255" s="203">
        <f t="shared" si="431"/>
        <v>350</v>
      </c>
      <c r="Y255" s="454">
        <f t="shared" si="396"/>
        <v>350</v>
      </c>
      <c r="AA255" s="223">
        <f t="shared" si="432"/>
        <v>1.1374916163648559</v>
      </c>
      <c r="AB255" s="179">
        <f t="shared" si="433"/>
        <v>2.1462105969148224</v>
      </c>
      <c r="AC255" s="179">
        <f t="shared" si="434"/>
        <v>1.2816806944956125</v>
      </c>
      <c r="AD255" s="179"/>
      <c r="AE255" s="179">
        <f t="shared" si="435"/>
        <v>0.5660377358490567</v>
      </c>
      <c r="AF255" s="563">
        <f t="shared" si="436"/>
        <v>1531.1111111111109</v>
      </c>
      <c r="AG255" s="546">
        <f t="shared" si="437"/>
        <v>8.9150943396226423E-2</v>
      </c>
      <c r="AI255" s="179">
        <f t="shared" si="438"/>
        <v>0.6274665614311935</v>
      </c>
      <c r="AJ255" s="179">
        <f t="shared" si="439"/>
        <v>0.6274665614311935</v>
      </c>
      <c r="AK255" s="179">
        <f t="shared" si="440"/>
        <v>1.4425678232823655</v>
      </c>
      <c r="AM255" s="563">
        <f t="shared" si="441"/>
        <v>390</v>
      </c>
      <c r="AN255" s="472">
        <f t="shared" si="442"/>
        <v>350</v>
      </c>
      <c r="AP255">
        <f t="shared" si="443"/>
        <v>390</v>
      </c>
      <c r="AQ255">
        <f t="shared" si="444"/>
        <v>350</v>
      </c>
      <c r="AS255" s="6">
        <f t="shared" si="340"/>
        <v>2.8571428571428572</v>
      </c>
      <c r="AT255" s="6">
        <f t="shared" si="445"/>
        <v>0.39216660089449595</v>
      </c>
      <c r="AU255" s="6">
        <f t="shared" si="414"/>
        <v>2.4649762562483613</v>
      </c>
      <c r="AV255" s="6"/>
      <c r="AW255" s="179">
        <f t="shared" si="415"/>
        <v>0.13725831031307359</v>
      </c>
      <c r="AX255" s="179"/>
      <c r="BA255" s="472">
        <f t="shared" si="416"/>
        <v>3.0588994869770683</v>
      </c>
      <c r="BB255" s="6">
        <f t="shared" si="417"/>
        <v>9.272190778712007E-2</v>
      </c>
      <c r="CD255" s="581">
        <f t="shared" si="446"/>
        <v>-50</v>
      </c>
      <c r="CE255">
        <f t="shared" si="447"/>
        <v>-50</v>
      </c>
    </row>
    <row r="256" spans="5:83" x14ac:dyDescent="0.2">
      <c r="E256" s="176">
        <v>40</v>
      </c>
      <c r="F256" s="223">
        <f t="shared" si="448"/>
        <v>0.4</v>
      </c>
      <c r="G256" s="223"/>
      <c r="H256" s="223">
        <f t="shared" si="418"/>
        <v>2</v>
      </c>
      <c r="I256" s="559">
        <f t="shared" si="419"/>
        <v>48</v>
      </c>
      <c r="J256" s="454">
        <f t="shared" si="420"/>
        <v>15.899999999999999</v>
      </c>
      <c r="K256" s="454">
        <f t="shared" si="421"/>
        <v>63.9</v>
      </c>
      <c r="L256" s="454"/>
      <c r="M256" s="223">
        <f t="shared" si="422"/>
        <v>0.24882629107981219</v>
      </c>
      <c r="N256" s="178">
        <f t="shared" si="423"/>
        <v>8.0619718309859145</v>
      </c>
      <c r="O256" s="178">
        <f t="shared" si="339"/>
        <v>2</v>
      </c>
      <c r="P256" s="223">
        <f t="shared" si="424"/>
        <v>1.6123943661971829</v>
      </c>
      <c r="Q256" s="223">
        <f t="shared" si="425"/>
        <v>5</v>
      </c>
      <c r="R256" s="223"/>
      <c r="S256" s="178">
        <f t="shared" si="426"/>
        <v>65.07342433181465</v>
      </c>
      <c r="T256" s="178">
        <f t="shared" si="427"/>
        <v>5</v>
      </c>
      <c r="U256" s="223">
        <f t="shared" si="428"/>
        <v>0.3721174004192872</v>
      </c>
      <c r="V256" s="223">
        <f t="shared" si="429"/>
        <v>0.23257337526205452</v>
      </c>
      <c r="W256" s="223">
        <f t="shared" si="430"/>
        <v>0.70210830267790048</v>
      </c>
      <c r="X256" s="203">
        <f t="shared" si="431"/>
        <v>350</v>
      </c>
      <c r="Y256" s="454">
        <f t="shared" si="396"/>
        <v>350</v>
      </c>
      <c r="AA256" s="223">
        <f t="shared" si="432"/>
        <v>1.1374916163648559</v>
      </c>
      <c r="AB256" s="179">
        <f t="shared" si="433"/>
        <v>2.1462105969148224</v>
      </c>
      <c r="AC256" s="179">
        <f t="shared" si="434"/>
        <v>1.2816806944956125</v>
      </c>
      <c r="AD256" s="179"/>
      <c r="AE256" s="179">
        <f t="shared" si="435"/>
        <v>0.5660377358490567</v>
      </c>
      <c r="AF256" s="563">
        <f t="shared" si="436"/>
        <v>1570.3703703703702</v>
      </c>
      <c r="AG256" s="546">
        <f t="shared" si="437"/>
        <v>8.9150943396226423E-2</v>
      </c>
      <c r="AI256" s="179">
        <f t="shared" si="438"/>
        <v>0.63546008828999145</v>
      </c>
      <c r="AJ256" s="179">
        <f t="shared" si="439"/>
        <v>0.63546008828999145</v>
      </c>
      <c r="AK256" s="179">
        <f t="shared" si="440"/>
        <v>1.4484889542888826</v>
      </c>
      <c r="AM256" s="563">
        <f t="shared" si="441"/>
        <v>400</v>
      </c>
      <c r="AN256" s="472">
        <f t="shared" si="442"/>
        <v>350</v>
      </c>
      <c r="AP256">
        <f t="shared" si="443"/>
        <v>400</v>
      </c>
      <c r="AQ256">
        <f t="shared" si="444"/>
        <v>350</v>
      </c>
      <c r="AS256" s="6">
        <f t="shared" si="340"/>
        <v>2.8571428571428572</v>
      </c>
      <c r="AT256" s="6">
        <f t="shared" si="445"/>
        <v>0.39716255518124466</v>
      </c>
      <c r="AU256" s="6">
        <f t="shared" si="414"/>
        <v>2.4599803019616124</v>
      </c>
      <c r="AV256" s="6"/>
      <c r="AW256" s="179">
        <f t="shared" si="415"/>
        <v>0.13900689431343563</v>
      </c>
      <c r="AX256" s="179"/>
      <c r="BA256" s="472">
        <f t="shared" si="416"/>
        <v>3.1773004414499573</v>
      </c>
      <c r="BB256" s="6">
        <f t="shared" si="417"/>
        <v>9.49066474522227E-2</v>
      </c>
      <c r="CD256" s="581">
        <f t="shared" si="446"/>
        <v>-50</v>
      </c>
      <c r="CE256">
        <f t="shared" si="447"/>
        <v>-50</v>
      </c>
    </row>
    <row r="257" spans="5:83" x14ac:dyDescent="0.2">
      <c r="E257" s="176">
        <v>41</v>
      </c>
      <c r="F257" s="223">
        <f t="shared" si="448"/>
        <v>0.41</v>
      </c>
      <c r="G257" s="223"/>
      <c r="H257" s="223">
        <f t="shared" si="418"/>
        <v>2.0499999999999998</v>
      </c>
      <c r="I257" s="559">
        <f t="shared" si="419"/>
        <v>48</v>
      </c>
      <c r="J257" s="454">
        <f t="shared" si="420"/>
        <v>15.899999999999999</v>
      </c>
      <c r="K257" s="454">
        <f t="shared" si="421"/>
        <v>63.9</v>
      </c>
      <c r="L257" s="454"/>
      <c r="M257" s="223">
        <f t="shared" si="422"/>
        <v>0.24882629107981219</v>
      </c>
      <c r="N257" s="178">
        <f t="shared" si="423"/>
        <v>8.0619718309859145</v>
      </c>
      <c r="O257" s="178">
        <f t="shared" si="339"/>
        <v>2.0499999999999998</v>
      </c>
      <c r="P257" s="223">
        <f t="shared" si="424"/>
        <v>1.6123943661971829</v>
      </c>
      <c r="Q257" s="223">
        <f t="shared" si="425"/>
        <v>5</v>
      </c>
      <c r="R257" s="223"/>
      <c r="S257" s="178">
        <f t="shared" si="426"/>
        <v>63.100099903781292</v>
      </c>
      <c r="T257" s="178">
        <f t="shared" si="427"/>
        <v>5</v>
      </c>
      <c r="U257" s="223">
        <f t="shared" si="428"/>
        <v>0.38142033542976939</v>
      </c>
      <c r="V257" s="223">
        <f t="shared" si="429"/>
        <v>0.23838770964360589</v>
      </c>
      <c r="W257" s="223">
        <f t="shared" si="430"/>
        <v>0.71966101024484797</v>
      </c>
      <c r="X257" s="203">
        <f t="shared" si="431"/>
        <v>350</v>
      </c>
      <c r="Y257" s="454">
        <f t="shared" si="396"/>
        <v>350</v>
      </c>
      <c r="AA257" s="223">
        <f t="shared" si="432"/>
        <v>1.1374916163648559</v>
      </c>
      <c r="AB257" s="179">
        <f t="shared" si="433"/>
        <v>2.1462105969148224</v>
      </c>
      <c r="AC257" s="179">
        <f t="shared" si="434"/>
        <v>1.2816806944956125</v>
      </c>
      <c r="AD257" s="179"/>
      <c r="AE257" s="179">
        <f t="shared" si="435"/>
        <v>0.5660377358490567</v>
      </c>
      <c r="AF257" s="563">
        <f t="shared" si="436"/>
        <v>1609.6296296296291</v>
      </c>
      <c r="AG257" s="546">
        <f t="shared" si="437"/>
        <v>8.9150943396226423E-2</v>
      </c>
      <c r="AI257" s="179">
        <f t="shared" si="438"/>
        <v>0.64335430511092551</v>
      </c>
      <c r="AJ257" s="179">
        <f t="shared" si="439"/>
        <v>0.64335430511092551</v>
      </c>
      <c r="AK257" s="179">
        <f t="shared" si="440"/>
        <v>1.4543365223043891</v>
      </c>
      <c r="AM257" s="563">
        <f t="shared" si="441"/>
        <v>410</v>
      </c>
      <c r="AN257" s="472">
        <f t="shared" si="442"/>
        <v>350</v>
      </c>
      <c r="AP257">
        <f t="shared" si="443"/>
        <v>410</v>
      </c>
      <c r="AQ257">
        <f t="shared" si="444"/>
        <v>350</v>
      </c>
      <c r="AS257" s="6">
        <f t="shared" si="340"/>
        <v>2.8571428571428572</v>
      </c>
      <c r="AT257" s="6">
        <f t="shared" si="445"/>
        <v>0.40209644069432848</v>
      </c>
      <c r="AU257" s="6">
        <f t="shared" si="414"/>
        <v>2.4550464164485288</v>
      </c>
      <c r="AV257" s="6"/>
      <c r="AW257" s="179">
        <f t="shared" si="415"/>
        <v>0.14073375424301496</v>
      </c>
      <c r="AX257" s="179"/>
      <c r="BA257" s="472">
        <f t="shared" si="416"/>
        <v>3.2971908136934935</v>
      </c>
      <c r="BB257" s="6">
        <f t="shared" si="417"/>
        <v>9.7084204354156697E-2</v>
      </c>
      <c r="CD257" s="581">
        <f t="shared" si="446"/>
        <v>-50</v>
      </c>
      <c r="CE257">
        <f t="shared" si="447"/>
        <v>-50</v>
      </c>
    </row>
    <row r="258" spans="5:83" x14ac:dyDescent="0.2">
      <c r="E258" s="176">
        <v>42</v>
      </c>
      <c r="F258" s="223">
        <f t="shared" si="448"/>
        <v>0.42</v>
      </c>
      <c r="G258" s="223"/>
      <c r="H258" s="223">
        <f t="shared" si="418"/>
        <v>2.1</v>
      </c>
      <c r="I258" s="559">
        <f t="shared" si="419"/>
        <v>48</v>
      </c>
      <c r="J258" s="454">
        <f t="shared" si="420"/>
        <v>15.899999999999999</v>
      </c>
      <c r="K258" s="454">
        <f t="shared" si="421"/>
        <v>63.9</v>
      </c>
      <c r="L258" s="454"/>
      <c r="M258" s="223">
        <f t="shared" si="422"/>
        <v>0.24882629107981219</v>
      </c>
      <c r="N258" s="178">
        <f t="shared" si="423"/>
        <v>8.0619718309859145</v>
      </c>
      <c r="O258" s="178">
        <f t="shared" si="339"/>
        <v>2.1</v>
      </c>
      <c r="P258" s="223">
        <f t="shared" si="424"/>
        <v>1.6123943661971829</v>
      </c>
      <c r="Q258" s="223">
        <f t="shared" si="425"/>
        <v>5</v>
      </c>
      <c r="R258" s="223"/>
      <c r="S258" s="178">
        <f t="shared" si="426"/>
        <v>61.220879434542809</v>
      </c>
      <c r="T258" s="178">
        <f t="shared" si="427"/>
        <v>5</v>
      </c>
      <c r="U258" s="223">
        <f t="shared" si="428"/>
        <v>0.39072327044025157</v>
      </c>
      <c r="V258" s="223">
        <f t="shared" si="429"/>
        <v>0.24420204402515722</v>
      </c>
      <c r="W258" s="223">
        <f t="shared" si="430"/>
        <v>0.73721371781179545</v>
      </c>
      <c r="X258" s="203">
        <f t="shared" si="431"/>
        <v>350</v>
      </c>
      <c r="Y258" s="454">
        <f t="shared" si="396"/>
        <v>350</v>
      </c>
      <c r="AA258" s="223">
        <f t="shared" si="432"/>
        <v>1.1374916163648559</v>
      </c>
      <c r="AB258" s="179">
        <f t="shared" si="433"/>
        <v>2.1462105969148224</v>
      </c>
      <c r="AC258" s="179">
        <f t="shared" si="434"/>
        <v>1.2816806944956125</v>
      </c>
      <c r="AD258" s="179"/>
      <c r="AE258" s="179">
        <f t="shared" si="435"/>
        <v>0.5660377358490567</v>
      </c>
      <c r="AF258" s="563">
        <f t="shared" si="436"/>
        <v>1648.8888888888885</v>
      </c>
      <c r="AG258" s="546">
        <f t="shared" si="437"/>
        <v>8.9150943396226423E-2</v>
      </c>
      <c r="AI258" s="179">
        <f t="shared" si="438"/>
        <v>0.6511528238439882</v>
      </c>
      <c r="AJ258" s="179">
        <f t="shared" si="439"/>
        <v>0.6511528238439882</v>
      </c>
      <c r="AK258" s="179">
        <f t="shared" si="440"/>
        <v>1.4601132028473987</v>
      </c>
      <c r="AM258" s="563">
        <f t="shared" si="441"/>
        <v>420</v>
      </c>
      <c r="AN258" s="472">
        <f t="shared" si="442"/>
        <v>350</v>
      </c>
      <c r="AP258">
        <f t="shared" si="443"/>
        <v>420</v>
      </c>
      <c r="AQ258">
        <f t="shared" si="444"/>
        <v>350</v>
      </c>
      <c r="AS258" s="6">
        <f t="shared" si="340"/>
        <v>2.8571428571428572</v>
      </c>
      <c r="AT258" s="6">
        <f t="shared" si="445"/>
        <v>0.40697051490249264</v>
      </c>
      <c r="AU258" s="6">
        <f t="shared" si="414"/>
        <v>2.4501723422403647</v>
      </c>
      <c r="AV258" s="6"/>
      <c r="AW258" s="179">
        <f t="shared" si="415"/>
        <v>0.14243968021587242</v>
      </c>
      <c r="AX258" s="179"/>
      <c r="BA258" s="472">
        <f t="shared" si="416"/>
        <v>3.4185523251809378</v>
      </c>
      <c r="BB258" s="6">
        <f t="shared" si="417"/>
        <v>9.9254666641681422E-2</v>
      </c>
      <c r="CD258" s="581">
        <f t="shared" si="446"/>
        <v>-50</v>
      </c>
      <c r="CE258">
        <f t="shared" si="447"/>
        <v>-50</v>
      </c>
    </row>
    <row r="259" spans="5:83" x14ac:dyDescent="0.2">
      <c r="E259" s="176">
        <v>43</v>
      </c>
      <c r="F259" s="223">
        <f t="shared" si="448"/>
        <v>0.43</v>
      </c>
      <c r="G259" s="223"/>
      <c r="H259" s="223">
        <f t="shared" si="418"/>
        <v>2.15</v>
      </c>
      <c r="I259" s="559">
        <f t="shared" si="419"/>
        <v>48</v>
      </c>
      <c r="J259" s="454">
        <f t="shared" si="420"/>
        <v>15.899999999999999</v>
      </c>
      <c r="K259" s="454">
        <f t="shared" si="421"/>
        <v>63.9</v>
      </c>
      <c r="L259" s="454"/>
      <c r="M259" s="223">
        <f t="shared" si="422"/>
        <v>0.24882629107981219</v>
      </c>
      <c r="N259" s="178">
        <f t="shared" si="423"/>
        <v>8.0619718309859145</v>
      </c>
      <c r="O259" s="178">
        <f t="shared" si="339"/>
        <v>2.15</v>
      </c>
      <c r="P259" s="223">
        <f t="shared" si="424"/>
        <v>1.6123943661971829</v>
      </c>
      <c r="Q259" s="223">
        <f t="shared" si="425"/>
        <v>5</v>
      </c>
      <c r="R259" s="223"/>
      <c r="S259" s="178">
        <f t="shared" si="426"/>
        <v>59.429199913088503</v>
      </c>
      <c r="T259" s="178">
        <f t="shared" si="427"/>
        <v>5</v>
      </c>
      <c r="U259" s="223">
        <f t="shared" si="428"/>
        <v>0.40002620545073375</v>
      </c>
      <c r="V259" s="223">
        <f t="shared" si="429"/>
        <v>0.25001637840670859</v>
      </c>
      <c r="W259" s="223">
        <f t="shared" si="430"/>
        <v>0.75476642537874294</v>
      </c>
      <c r="X259" s="203">
        <f t="shared" si="431"/>
        <v>350</v>
      </c>
      <c r="Y259" s="454">
        <f t="shared" si="396"/>
        <v>350</v>
      </c>
      <c r="AA259" s="223">
        <f t="shared" si="432"/>
        <v>1.1374916163648559</v>
      </c>
      <c r="AB259" s="179">
        <f t="shared" si="433"/>
        <v>2.1462105969148224</v>
      </c>
      <c r="AC259" s="179">
        <f t="shared" si="434"/>
        <v>1.2816806944956125</v>
      </c>
      <c r="AD259" s="179"/>
      <c r="AE259" s="179">
        <f t="shared" si="435"/>
        <v>0.5660377358490567</v>
      </c>
      <c r="AF259" s="563">
        <f t="shared" si="436"/>
        <v>1688.1481481481478</v>
      </c>
      <c r="AG259" s="546">
        <f t="shared" si="437"/>
        <v>8.9150943396226423E-2</v>
      </c>
      <c r="AI259" s="179">
        <f t="shared" si="438"/>
        <v>0.65885904266029316</v>
      </c>
      <c r="AJ259" s="179">
        <f t="shared" si="439"/>
        <v>0.65885904266029316</v>
      </c>
      <c r="AK259" s="179">
        <f t="shared" si="440"/>
        <v>1.4658215130816985</v>
      </c>
      <c r="AM259" s="563">
        <f t="shared" si="441"/>
        <v>430</v>
      </c>
      <c r="AN259" s="472">
        <f t="shared" si="442"/>
        <v>350</v>
      </c>
      <c r="AP259">
        <f t="shared" si="443"/>
        <v>430</v>
      </c>
      <c r="AQ259">
        <f t="shared" si="444"/>
        <v>350</v>
      </c>
      <c r="AS259" s="6">
        <f t="shared" si="340"/>
        <v>2.8571428571428572</v>
      </c>
      <c r="AT259" s="6">
        <f t="shared" si="445"/>
        <v>0.41178690166268328</v>
      </c>
      <c r="AU259" s="6">
        <f t="shared" si="414"/>
        <v>2.4453559554801738</v>
      </c>
      <c r="AV259" s="6"/>
      <c r="AW259" s="179">
        <f t="shared" si="415"/>
        <v>0.14412541558193914</v>
      </c>
      <c r="AX259" s="179"/>
      <c r="BA259" s="472">
        <f t="shared" si="416"/>
        <v>3.541367354299076</v>
      </c>
      <c r="BB259" s="6">
        <f t="shared" si="417"/>
        <v>0.10141811929557046</v>
      </c>
      <c r="CD259" s="581">
        <f t="shared" si="446"/>
        <v>-50</v>
      </c>
      <c r="CE259">
        <f t="shared" si="447"/>
        <v>-50</v>
      </c>
    </row>
    <row r="260" spans="5:83" x14ac:dyDescent="0.2">
      <c r="E260" s="176">
        <v>44</v>
      </c>
      <c r="F260" s="223">
        <f t="shared" si="448"/>
        <v>0.44</v>
      </c>
      <c r="G260" s="223"/>
      <c r="H260" s="223">
        <f t="shared" si="418"/>
        <v>2.2000000000000002</v>
      </c>
      <c r="I260" s="559">
        <f t="shared" si="419"/>
        <v>48</v>
      </c>
      <c r="J260" s="454">
        <f t="shared" si="420"/>
        <v>15.899999999999999</v>
      </c>
      <c r="K260" s="454">
        <f t="shared" si="421"/>
        <v>63.9</v>
      </c>
      <c r="L260" s="454"/>
      <c r="M260" s="223">
        <f t="shared" si="422"/>
        <v>0.24882629107981219</v>
      </c>
      <c r="N260" s="178">
        <f t="shared" si="423"/>
        <v>8.0619718309859145</v>
      </c>
      <c r="O260" s="178">
        <f t="shared" si="339"/>
        <v>2.2000000000000002</v>
      </c>
      <c r="P260" s="223">
        <f t="shared" si="424"/>
        <v>1.6123943661971829</v>
      </c>
      <c r="Q260" s="223">
        <f t="shared" si="425"/>
        <v>5</v>
      </c>
      <c r="R260" s="223"/>
      <c r="S260" s="178">
        <f t="shared" si="426"/>
        <v>57.71909501985656</v>
      </c>
      <c r="T260" s="178">
        <f t="shared" si="427"/>
        <v>5</v>
      </c>
      <c r="U260" s="223">
        <f t="shared" si="428"/>
        <v>0.40932914046121599</v>
      </c>
      <c r="V260" s="223">
        <f t="shared" si="429"/>
        <v>0.25583071278826003</v>
      </c>
      <c r="W260" s="223">
        <f t="shared" si="430"/>
        <v>0.77231913294569066</v>
      </c>
      <c r="X260" s="203">
        <f t="shared" si="431"/>
        <v>350</v>
      </c>
      <c r="Y260" s="454">
        <f t="shared" si="396"/>
        <v>350</v>
      </c>
      <c r="AA260" s="223">
        <f t="shared" si="432"/>
        <v>1.1374916163648559</v>
      </c>
      <c r="AB260" s="179">
        <f t="shared" si="433"/>
        <v>2.1462105969148224</v>
      </c>
      <c r="AC260" s="179">
        <f t="shared" si="434"/>
        <v>1.2816806944956125</v>
      </c>
      <c r="AD260" s="179"/>
      <c r="AE260" s="179">
        <f t="shared" si="435"/>
        <v>0.5660377358490567</v>
      </c>
      <c r="AF260" s="563">
        <f t="shared" si="436"/>
        <v>1727.4074074074072</v>
      </c>
      <c r="AG260" s="546">
        <f t="shared" si="437"/>
        <v>8.9150943396226423E-2</v>
      </c>
      <c r="AI260" s="179">
        <f t="shared" si="438"/>
        <v>0.66647616325752879</v>
      </c>
      <c r="AJ260" s="179">
        <f t="shared" si="439"/>
        <v>0.66647616325752879</v>
      </c>
      <c r="AK260" s="179">
        <f t="shared" si="440"/>
        <v>1.4714638246352065</v>
      </c>
      <c r="AM260" s="563">
        <f t="shared" si="441"/>
        <v>440</v>
      </c>
      <c r="AN260" s="472">
        <f t="shared" si="442"/>
        <v>350</v>
      </c>
      <c r="AP260">
        <f t="shared" si="443"/>
        <v>440</v>
      </c>
      <c r="AQ260">
        <f t="shared" si="444"/>
        <v>350</v>
      </c>
      <c r="AS260" s="6">
        <f t="shared" si="340"/>
        <v>2.8571428571428572</v>
      </c>
      <c r="AT260" s="6">
        <f t="shared" si="445"/>
        <v>0.41654760203595553</v>
      </c>
      <c r="AU260" s="6">
        <f t="shared" si="414"/>
        <v>2.4405952551069019</v>
      </c>
      <c r="AV260" s="6"/>
      <c r="AW260" s="179">
        <f t="shared" si="415"/>
        <v>0.14579166071258443</v>
      </c>
      <c r="AX260" s="179"/>
      <c r="BA260" s="472">
        <f t="shared" si="416"/>
        <v>3.665618897916409</v>
      </c>
      <c r="BB260" s="6">
        <f t="shared" si="417"/>
        <v>0.1035746443139503</v>
      </c>
      <c r="CD260" s="581">
        <f t="shared" si="446"/>
        <v>-50</v>
      </c>
      <c r="CE260">
        <f t="shared" si="447"/>
        <v>-50</v>
      </c>
    </row>
    <row r="261" spans="5:83" x14ac:dyDescent="0.2">
      <c r="E261" s="176">
        <v>45</v>
      </c>
      <c r="F261" s="223">
        <f t="shared" si="448"/>
        <v>0.45</v>
      </c>
      <c r="G261" s="223"/>
      <c r="H261" s="223">
        <f t="shared" si="418"/>
        <v>2.25</v>
      </c>
      <c r="I261" s="559">
        <f t="shared" si="419"/>
        <v>48</v>
      </c>
      <c r="J261" s="454">
        <f t="shared" si="420"/>
        <v>15.899999999999999</v>
      </c>
      <c r="K261" s="454">
        <f t="shared" si="421"/>
        <v>63.9</v>
      </c>
      <c r="L261" s="454"/>
      <c r="M261" s="223">
        <f t="shared" si="422"/>
        <v>0.24882629107981219</v>
      </c>
      <c r="N261" s="178">
        <f t="shared" si="423"/>
        <v>8.0619718309859145</v>
      </c>
      <c r="O261" s="178">
        <f t="shared" si="339"/>
        <v>2.25</v>
      </c>
      <c r="P261" s="223">
        <f t="shared" si="424"/>
        <v>1.6123943661971829</v>
      </c>
      <c r="Q261" s="223">
        <f t="shared" si="425"/>
        <v>5</v>
      </c>
      <c r="R261" s="223"/>
      <c r="S261" s="178">
        <f t="shared" si="426"/>
        <v>56.085128829173073</v>
      </c>
      <c r="T261" s="178">
        <f t="shared" si="427"/>
        <v>5</v>
      </c>
      <c r="U261" s="223">
        <f t="shared" si="428"/>
        <v>0.41863207547169812</v>
      </c>
      <c r="V261" s="223">
        <f t="shared" si="429"/>
        <v>0.2616450471698113</v>
      </c>
      <c r="W261" s="223">
        <f t="shared" si="430"/>
        <v>0.78987184051263803</v>
      </c>
      <c r="X261" s="203">
        <f t="shared" si="431"/>
        <v>350</v>
      </c>
      <c r="Y261" s="454">
        <f t="shared" si="396"/>
        <v>350</v>
      </c>
      <c r="AA261" s="223">
        <f t="shared" si="432"/>
        <v>1.1374916163648559</v>
      </c>
      <c r="AB261" s="179">
        <f t="shared" si="433"/>
        <v>2.1462105969148224</v>
      </c>
      <c r="AC261" s="179">
        <f t="shared" si="434"/>
        <v>1.2816806944956125</v>
      </c>
      <c r="AD261" s="179"/>
      <c r="AE261" s="179">
        <f t="shared" si="435"/>
        <v>0.5660377358490567</v>
      </c>
      <c r="AF261" s="563">
        <f t="shared" si="436"/>
        <v>1766.6666666666663</v>
      </c>
      <c r="AG261" s="546">
        <f t="shared" si="437"/>
        <v>8.9150943396226423E-2</v>
      </c>
      <c r="AI261" s="179">
        <f t="shared" si="438"/>
        <v>0.67400720640488276</v>
      </c>
      <c r="AJ261" s="179">
        <f t="shared" si="439"/>
        <v>0.67400720640488276</v>
      </c>
      <c r="AK261" s="179">
        <f t="shared" si="440"/>
        <v>1.4770423751147279</v>
      </c>
      <c r="AM261" s="563">
        <f t="shared" si="441"/>
        <v>450</v>
      </c>
      <c r="AN261" s="472">
        <f t="shared" si="442"/>
        <v>350</v>
      </c>
      <c r="AP261">
        <f t="shared" si="443"/>
        <v>450</v>
      </c>
      <c r="AQ261">
        <f t="shared" si="444"/>
        <v>350</v>
      </c>
      <c r="AS261" s="6">
        <f t="shared" si="340"/>
        <v>2.8571428571428572</v>
      </c>
      <c r="AT261" s="6">
        <f t="shared" si="445"/>
        <v>0.4212545040030517</v>
      </c>
      <c r="AU261" s="6">
        <f t="shared" si="414"/>
        <v>2.4358883531398057</v>
      </c>
      <c r="AV261" s="6"/>
      <c r="AW261" s="179">
        <f t="shared" si="415"/>
        <v>0.1474390764010681</v>
      </c>
      <c r="AX261" s="179"/>
      <c r="BA261" s="472">
        <f t="shared" si="416"/>
        <v>3.7912905360274651</v>
      </c>
      <c r="BB261" s="6">
        <f t="shared" si="417"/>
        <v>0.10572432088280406</v>
      </c>
      <c r="CD261" s="581">
        <f t="shared" si="446"/>
        <v>-50</v>
      </c>
      <c r="CE261">
        <f t="shared" si="447"/>
        <v>-50</v>
      </c>
    </row>
    <row r="262" spans="5:83" x14ac:dyDescent="0.2">
      <c r="E262" s="176">
        <v>46</v>
      </c>
      <c r="F262" s="223">
        <f t="shared" si="448"/>
        <v>0.46</v>
      </c>
      <c r="G262" s="223"/>
      <c r="H262" s="223">
        <f t="shared" si="418"/>
        <v>2.3000000000000003</v>
      </c>
      <c r="I262" s="559">
        <f t="shared" si="419"/>
        <v>48</v>
      </c>
      <c r="J262" s="454">
        <f t="shared" si="420"/>
        <v>15.899999999999999</v>
      </c>
      <c r="K262" s="454">
        <f t="shared" si="421"/>
        <v>63.9</v>
      </c>
      <c r="L262" s="454"/>
      <c r="M262" s="223">
        <f t="shared" si="422"/>
        <v>0.24882629107981219</v>
      </c>
      <c r="N262" s="178">
        <f t="shared" si="423"/>
        <v>8.0619718309859145</v>
      </c>
      <c r="O262" s="178">
        <f t="shared" ref="O262:O316" si="449">T262*F262</f>
        <v>2.3000000000000003</v>
      </c>
      <c r="P262" s="223">
        <f t="shared" si="424"/>
        <v>1.6123943661971829</v>
      </c>
      <c r="Q262" s="223">
        <f t="shared" si="425"/>
        <v>5</v>
      </c>
      <c r="R262" s="223"/>
      <c r="S262" s="178">
        <f t="shared" si="426"/>
        <v>54.522338159246182</v>
      </c>
      <c r="T262" s="178">
        <f t="shared" si="427"/>
        <v>5</v>
      </c>
      <c r="U262" s="223">
        <f t="shared" si="428"/>
        <v>0.42793501048218036</v>
      </c>
      <c r="V262" s="223">
        <f t="shared" si="429"/>
        <v>0.26745938155136273</v>
      </c>
      <c r="W262" s="223">
        <f t="shared" si="430"/>
        <v>0.80742454807958575</v>
      </c>
      <c r="X262" s="203">
        <f t="shared" si="431"/>
        <v>350</v>
      </c>
      <c r="Y262" s="454">
        <f t="shared" si="396"/>
        <v>350</v>
      </c>
      <c r="AA262" s="223">
        <f t="shared" si="432"/>
        <v>1.1374916163648559</v>
      </c>
      <c r="AB262" s="179">
        <f t="shared" si="433"/>
        <v>2.1462105969148224</v>
      </c>
      <c r="AC262" s="179">
        <f t="shared" si="434"/>
        <v>1.2816806944956125</v>
      </c>
      <c r="AD262" s="179"/>
      <c r="AE262" s="179">
        <f t="shared" si="435"/>
        <v>0.5660377358490567</v>
      </c>
      <c r="AF262" s="563">
        <f t="shared" si="436"/>
        <v>1805.9259259259256</v>
      </c>
      <c r="AG262" s="546">
        <f t="shared" si="437"/>
        <v>8.9150943396226423E-2</v>
      </c>
      <c r="AI262" s="179">
        <f t="shared" si="438"/>
        <v>0.68145502594151608</v>
      </c>
      <c r="AJ262" s="179">
        <f t="shared" si="439"/>
        <v>0.68145502594151608</v>
      </c>
      <c r="AK262" s="179">
        <f t="shared" si="440"/>
        <v>1.4825592784751971</v>
      </c>
      <c r="AM262" s="563">
        <f t="shared" si="441"/>
        <v>460</v>
      </c>
      <c r="AN262" s="472">
        <f t="shared" si="442"/>
        <v>350</v>
      </c>
      <c r="AP262">
        <f t="shared" si="443"/>
        <v>460</v>
      </c>
      <c r="AQ262">
        <f t="shared" si="444"/>
        <v>350</v>
      </c>
      <c r="AS262" s="6">
        <f t="shared" si="340"/>
        <v>2.8571428571428572</v>
      </c>
      <c r="AT262" s="6">
        <f t="shared" si="445"/>
        <v>0.42590939121344751</v>
      </c>
      <c r="AU262" s="6">
        <f t="shared" si="414"/>
        <v>2.4312334659294095</v>
      </c>
      <c r="AV262" s="6"/>
      <c r="AW262" s="179">
        <f t="shared" si="415"/>
        <v>0.14906828692470661</v>
      </c>
      <c r="AX262" s="179"/>
      <c r="BA262" s="472">
        <f t="shared" si="416"/>
        <v>3.9183663991637174</v>
      </c>
      <c r="BB262" s="6">
        <f t="shared" si="417"/>
        <v>0.10786722553313353</v>
      </c>
      <c r="CD262" s="581">
        <f t="shared" si="446"/>
        <v>-50</v>
      </c>
      <c r="CE262">
        <f t="shared" si="447"/>
        <v>-50</v>
      </c>
    </row>
    <row r="263" spans="5:83" x14ac:dyDescent="0.2">
      <c r="E263" s="176">
        <v>47</v>
      </c>
      <c r="F263" s="223">
        <f t="shared" si="448"/>
        <v>0.47</v>
      </c>
      <c r="G263" s="223"/>
      <c r="H263" s="223">
        <f t="shared" si="418"/>
        <v>2.3499999999999996</v>
      </c>
      <c r="I263" s="559">
        <f t="shared" si="419"/>
        <v>48</v>
      </c>
      <c r="J263" s="454">
        <f t="shared" si="420"/>
        <v>15.899999999999999</v>
      </c>
      <c r="K263" s="454">
        <f t="shared" si="421"/>
        <v>63.9</v>
      </c>
      <c r="L263" s="454"/>
      <c r="M263" s="223">
        <f t="shared" si="422"/>
        <v>0.24882629107981219</v>
      </c>
      <c r="N263" s="178">
        <f t="shared" si="423"/>
        <v>8.0619718309859145</v>
      </c>
      <c r="O263" s="178">
        <f t="shared" si="449"/>
        <v>2.3499999999999996</v>
      </c>
      <c r="P263" s="223">
        <f t="shared" si="424"/>
        <v>1.6123943661971829</v>
      </c>
      <c r="Q263" s="223">
        <f t="shared" si="425"/>
        <v>5</v>
      </c>
      <c r="R263" s="223"/>
      <c r="S263" s="178">
        <f t="shared" si="426"/>
        <v>53.026182281783704</v>
      </c>
      <c r="T263" s="178">
        <f t="shared" si="427"/>
        <v>5</v>
      </c>
      <c r="U263" s="223">
        <f t="shared" si="428"/>
        <v>0.43723794549266243</v>
      </c>
      <c r="V263" s="223">
        <f t="shared" si="429"/>
        <v>0.27327371593291405</v>
      </c>
      <c r="W263" s="223">
        <f t="shared" si="430"/>
        <v>0.8249772556465329</v>
      </c>
      <c r="X263" s="203">
        <f t="shared" si="431"/>
        <v>350</v>
      </c>
      <c r="Y263" s="454">
        <f t="shared" si="396"/>
        <v>350</v>
      </c>
      <c r="AA263" s="223">
        <f t="shared" si="432"/>
        <v>1.1374916163648559</v>
      </c>
      <c r="AB263" s="179">
        <f t="shared" si="433"/>
        <v>2.1462105969148224</v>
      </c>
      <c r="AC263" s="179">
        <f t="shared" si="434"/>
        <v>1.2816806944956125</v>
      </c>
      <c r="AD263" s="179"/>
      <c r="AE263" s="179">
        <f t="shared" si="435"/>
        <v>0.5660377358490567</v>
      </c>
      <c r="AF263" s="563">
        <f t="shared" si="436"/>
        <v>1845.1851851851848</v>
      </c>
      <c r="AG263" s="546">
        <f t="shared" si="437"/>
        <v>8.9150943396226423E-2</v>
      </c>
      <c r="AI263" s="179">
        <f t="shared" si="438"/>
        <v>0.68882232141256161</v>
      </c>
      <c r="AJ263" s="179">
        <f t="shared" si="439"/>
        <v>0.68882232141256161</v>
      </c>
      <c r="AK263" s="179">
        <f t="shared" si="440"/>
        <v>1.4880165343796752</v>
      </c>
      <c r="AM263" s="563">
        <f t="shared" si="441"/>
        <v>470</v>
      </c>
      <c r="AN263" s="472">
        <f t="shared" si="442"/>
        <v>350</v>
      </c>
      <c r="AP263">
        <f t="shared" si="443"/>
        <v>470</v>
      </c>
      <c r="AQ263">
        <f t="shared" si="444"/>
        <v>350</v>
      </c>
      <c r="AS263" s="6">
        <f t="shared" ref="AS263:AS316" si="450">1/AN263*1000</f>
        <v>2.8571428571428572</v>
      </c>
      <c r="AT263" s="6">
        <f t="shared" si="445"/>
        <v>0.43051395088285099</v>
      </c>
      <c r="AU263" s="6">
        <f t="shared" si="414"/>
        <v>2.4266289062600062</v>
      </c>
      <c r="AV263" s="6"/>
      <c r="AW263" s="179">
        <f t="shared" si="415"/>
        <v>0.15067988280899786</v>
      </c>
      <c r="AX263" s="179"/>
      <c r="BA263" s="472">
        <f t="shared" si="416"/>
        <v>4.0468311382987991</v>
      </c>
      <c r="BB263" s="6">
        <f t="shared" si="417"/>
        <v>0.11000343228609206</v>
      </c>
      <c r="CD263" s="581">
        <f t="shared" si="446"/>
        <v>-50</v>
      </c>
      <c r="CE263">
        <f t="shared" si="447"/>
        <v>-50</v>
      </c>
    </row>
    <row r="264" spans="5:83" x14ac:dyDescent="0.2">
      <c r="E264" s="176">
        <v>48</v>
      </c>
      <c r="F264" s="223">
        <f t="shared" si="448"/>
        <v>0.48</v>
      </c>
      <c r="G264" s="223"/>
      <c r="H264" s="223">
        <f t="shared" si="418"/>
        <v>2.4</v>
      </c>
      <c r="I264" s="559">
        <f t="shared" si="419"/>
        <v>48</v>
      </c>
      <c r="J264" s="454">
        <f t="shared" si="420"/>
        <v>15.899999999999999</v>
      </c>
      <c r="K264" s="454">
        <f t="shared" si="421"/>
        <v>63.9</v>
      </c>
      <c r="L264" s="454"/>
      <c r="M264" s="223">
        <f t="shared" si="422"/>
        <v>0.24882629107981219</v>
      </c>
      <c r="N264" s="178">
        <f t="shared" si="423"/>
        <v>8.0619718309859145</v>
      </c>
      <c r="O264" s="178">
        <f t="shared" si="449"/>
        <v>2.4</v>
      </c>
      <c r="P264" s="223">
        <f t="shared" si="424"/>
        <v>1.6123943661971829</v>
      </c>
      <c r="Q264" s="223">
        <f t="shared" si="425"/>
        <v>5</v>
      </c>
      <c r="R264" s="223"/>
      <c r="S264" s="178">
        <f t="shared" si="426"/>
        <v>51.59249891795708</v>
      </c>
      <c r="T264" s="178">
        <f t="shared" si="427"/>
        <v>5</v>
      </c>
      <c r="U264" s="223">
        <f t="shared" si="428"/>
        <v>0.44654088050314467</v>
      </c>
      <c r="V264" s="223">
        <f t="shared" si="429"/>
        <v>0.27908805031446543</v>
      </c>
      <c r="W264" s="223">
        <f t="shared" si="430"/>
        <v>0.84252996321348061</v>
      </c>
      <c r="X264" s="203">
        <f t="shared" si="431"/>
        <v>350</v>
      </c>
      <c r="Y264" s="454">
        <f t="shared" si="396"/>
        <v>350</v>
      </c>
      <c r="AA264" s="223">
        <f t="shared" si="432"/>
        <v>1.1374916163648559</v>
      </c>
      <c r="AB264" s="179">
        <f t="shared" si="433"/>
        <v>2.1462105969148224</v>
      </c>
      <c r="AC264" s="179">
        <f t="shared" si="434"/>
        <v>1.2816806944956125</v>
      </c>
      <c r="AD264" s="179"/>
      <c r="AE264" s="179">
        <f t="shared" si="435"/>
        <v>0.5660377358490567</v>
      </c>
      <c r="AF264" s="563">
        <f t="shared" si="436"/>
        <v>1884.4444444444441</v>
      </c>
      <c r="AG264" s="546">
        <f t="shared" si="437"/>
        <v>8.9150943396226423E-2</v>
      </c>
      <c r="AI264" s="179">
        <f t="shared" si="438"/>
        <v>0.69611164950130555</v>
      </c>
      <c r="AJ264" s="179">
        <f t="shared" si="439"/>
        <v>0.69611164950130555</v>
      </c>
      <c r="AK264" s="179">
        <f t="shared" si="440"/>
        <v>1.4934160366676337</v>
      </c>
      <c r="AM264" s="563">
        <f t="shared" si="441"/>
        <v>480</v>
      </c>
      <c r="AN264" s="472">
        <f t="shared" si="442"/>
        <v>350</v>
      </c>
      <c r="AP264">
        <f t="shared" si="443"/>
        <v>480</v>
      </c>
      <c r="AQ264">
        <f t="shared" si="444"/>
        <v>350</v>
      </c>
      <c r="AS264" s="6">
        <f t="shared" si="450"/>
        <v>2.8571428571428572</v>
      </c>
      <c r="AT264" s="6">
        <f t="shared" si="445"/>
        <v>0.435069780938316</v>
      </c>
      <c r="AU264" s="6">
        <f t="shared" si="414"/>
        <v>2.422073076204541</v>
      </c>
      <c r="AV264" s="6"/>
      <c r="AW264" s="179">
        <f t="shared" si="415"/>
        <v>0.1522744233284106</v>
      </c>
      <c r="AX264" s="179"/>
      <c r="BA264" s="472">
        <f t="shared" si="416"/>
        <v>4.1766698970078338</v>
      </c>
      <c r="BB264" s="6">
        <f t="shared" si="417"/>
        <v>0.11213301278724724</v>
      </c>
      <c r="CD264" s="581">
        <f t="shared" si="446"/>
        <v>-50</v>
      </c>
      <c r="CE264">
        <f t="shared" si="447"/>
        <v>-50</v>
      </c>
    </row>
    <row r="265" spans="5:83" x14ac:dyDescent="0.2">
      <c r="E265" s="176">
        <v>49</v>
      </c>
      <c r="F265" s="223">
        <f t="shared" si="448"/>
        <v>0.49</v>
      </c>
      <c r="G265" s="223"/>
      <c r="H265" s="223">
        <f t="shared" si="418"/>
        <v>2.4500000000000002</v>
      </c>
      <c r="I265" s="559">
        <f t="shared" si="419"/>
        <v>48</v>
      </c>
      <c r="J265" s="454">
        <f t="shared" si="420"/>
        <v>15.899999999999999</v>
      </c>
      <c r="K265" s="454">
        <f t="shared" si="421"/>
        <v>63.9</v>
      </c>
      <c r="L265" s="454"/>
      <c r="M265" s="223">
        <f t="shared" si="422"/>
        <v>0.24882629107981219</v>
      </c>
      <c r="N265" s="178">
        <f t="shared" si="423"/>
        <v>8.0619718309859145</v>
      </c>
      <c r="O265" s="178">
        <f t="shared" si="449"/>
        <v>2.4500000000000002</v>
      </c>
      <c r="P265" s="223">
        <f t="shared" si="424"/>
        <v>1.6123943661971829</v>
      </c>
      <c r="Q265" s="223">
        <f t="shared" si="425"/>
        <v>5</v>
      </c>
      <c r="R265" s="223"/>
      <c r="S265" s="178">
        <f t="shared" si="426"/>
        <v>50.21746562266442</v>
      </c>
      <c r="T265" s="178">
        <f t="shared" si="427"/>
        <v>5</v>
      </c>
      <c r="U265" s="223">
        <f t="shared" si="428"/>
        <v>0.45584381551362685</v>
      </c>
      <c r="V265" s="223">
        <f t="shared" si="429"/>
        <v>0.28490238469601681</v>
      </c>
      <c r="W265" s="223">
        <f t="shared" si="430"/>
        <v>0.8600826707804281</v>
      </c>
      <c r="X265" s="203">
        <f t="shared" si="431"/>
        <v>350</v>
      </c>
      <c r="Y265" s="454">
        <f t="shared" si="396"/>
        <v>350</v>
      </c>
      <c r="AA265" s="223">
        <f t="shared" si="432"/>
        <v>1.1374916163648559</v>
      </c>
      <c r="AB265" s="179">
        <f t="shared" si="433"/>
        <v>2.1462105969148224</v>
      </c>
      <c r="AC265" s="179">
        <f t="shared" si="434"/>
        <v>1.2816806944956125</v>
      </c>
      <c r="AD265" s="179"/>
      <c r="AE265" s="179">
        <f t="shared" si="435"/>
        <v>0.5660377358490567</v>
      </c>
      <c r="AF265" s="563">
        <f t="shared" si="436"/>
        <v>1923.7037037037035</v>
      </c>
      <c r="AG265" s="546">
        <f t="shared" si="437"/>
        <v>8.9150943396226423E-2</v>
      </c>
      <c r="AI265" s="179">
        <f t="shared" si="438"/>
        <v>0.70332543439482309</v>
      </c>
      <c r="AJ265" s="179">
        <f t="shared" si="439"/>
        <v>0.70332543439482309</v>
      </c>
      <c r="AK265" s="179">
        <f t="shared" si="440"/>
        <v>1.4987595810332022</v>
      </c>
      <c r="AM265" s="563">
        <f t="shared" si="441"/>
        <v>490</v>
      </c>
      <c r="AN265" s="472">
        <f t="shared" si="442"/>
        <v>350</v>
      </c>
      <c r="AP265">
        <f t="shared" si="443"/>
        <v>490</v>
      </c>
      <c r="AQ265">
        <f t="shared" si="444"/>
        <v>350</v>
      </c>
      <c r="AS265" s="6">
        <f t="shared" si="450"/>
        <v>2.8571428571428572</v>
      </c>
      <c r="AT265" s="6">
        <f t="shared" si="445"/>
        <v>0.43957839649676445</v>
      </c>
      <c r="AU265" s="6">
        <f t="shared" si="414"/>
        <v>2.4175644606460929</v>
      </c>
      <c r="AV265" s="6"/>
      <c r="AW265" s="179">
        <f t="shared" si="415"/>
        <v>0.15385243877386756</v>
      </c>
      <c r="AX265" s="179"/>
      <c r="BA265" s="472">
        <f t="shared" si="416"/>
        <v>4.3078682856682917</v>
      </c>
      <c r="BB265" s="6">
        <f t="shared" si="417"/>
        <v>0.11425603643099781</v>
      </c>
      <c r="CD265" s="581">
        <f t="shared" si="446"/>
        <v>-50</v>
      </c>
      <c r="CE265">
        <f t="shared" si="447"/>
        <v>-50</v>
      </c>
    </row>
    <row r="266" spans="5:83" x14ac:dyDescent="0.2">
      <c r="E266" s="176">
        <v>50</v>
      </c>
      <c r="F266" s="223">
        <f t="shared" si="448"/>
        <v>0.5</v>
      </c>
      <c r="G266" s="223"/>
      <c r="H266" s="223">
        <f t="shared" si="418"/>
        <v>2.5</v>
      </c>
      <c r="I266" s="559">
        <f t="shared" si="419"/>
        <v>48</v>
      </c>
      <c r="J266" s="454">
        <f t="shared" si="420"/>
        <v>15.899999999999999</v>
      </c>
      <c r="K266" s="454">
        <f t="shared" si="421"/>
        <v>63.9</v>
      </c>
      <c r="L266" s="454"/>
      <c r="M266" s="223">
        <f t="shared" si="422"/>
        <v>0.24882629107981219</v>
      </c>
      <c r="N266" s="178">
        <f t="shared" si="423"/>
        <v>8.0619718309859145</v>
      </c>
      <c r="O266" s="178">
        <f t="shared" si="449"/>
        <v>2.5</v>
      </c>
      <c r="P266" s="223">
        <f t="shared" si="424"/>
        <v>1.6123943661971829</v>
      </c>
      <c r="Q266" s="223">
        <f t="shared" si="425"/>
        <v>5</v>
      </c>
      <c r="R266" s="223"/>
      <c r="S266" s="178">
        <f t="shared" si="426"/>
        <v>48.897565802731918</v>
      </c>
      <c r="T266" s="178">
        <f t="shared" si="427"/>
        <v>5</v>
      </c>
      <c r="U266" s="223">
        <f t="shared" si="428"/>
        <v>0.46514675052410903</v>
      </c>
      <c r="V266" s="223">
        <f t="shared" si="429"/>
        <v>0.29071671907756819</v>
      </c>
      <c r="W266" s="223">
        <f t="shared" si="430"/>
        <v>0.87763537834737559</v>
      </c>
      <c r="X266" s="203">
        <f t="shared" si="431"/>
        <v>350</v>
      </c>
      <c r="Y266" s="454">
        <f t="shared" si="396"/>
        <v>350</v>
      </c>
      <c r="AA266" s="223">
        <f t="shared" si="432"/>
        <v>1.1374916163648559</v>
      </c>
      <c r="AB266" s="179">
        <f t="shared" si="433"/>
        <v>2.1462105969148224</v>
      </c>
      <c r="AC266" s="179">
        <f t="shared" si="434"/>
        <v>1.2816806944956125</v>
      </c>
      <c r="AD266" s="179"/>
      <c r="AE266" s="179">
        <f t="shared" si="435"/>
        <v>0.5660377358490567</v>
      </c>
      <c r="AF266" s="563">
        <f t="shared" si="436"/>
        <v>1962.9629629629626</v>
      </c>
      <c r="AG266" s="546">
        <f t="shared" si="437"/>
        <v>8.9150943396226423E-2</v>
      </c>
      <c r="AI266" s="179">
        <f t="shared" si="438"/>
        <v>0.7104659772022196</v>
      </c>
      <c r="AJ266" s="179">
        <f t="shared" si="439"/>
        <v>0.7104659772022196</v>
      </c>
      <c r="AK266" s="179">
        <f t="shared" si="440"/>
        <v>1.5040488720016441</v>
      </c>
      <c r="AM266" s="563">
        <f t="shared" si="441"/>
        <v>500</v>
      </c>
      <c r="AN266" s="472">
        <f t="shared" si="442"/>
        <v>350</v>
      </c>
      <c r="AP266">
        <f t="shared" si="443"/>
        <v>500</v>
      </c>
      <c r="AQ266">
        <f t="shared" si="444"/>
        <v>350</v>
      </c>
      <c r="AS266" s="6">
        <f t="shared" si="450"/>
        <v>2.8571428571428572</v>
      </c>
      <c r="AT266" s="6">
        <f t="shared" si="445"/>
        <v>0.44404123575138726</v>
      </c>
      <c r="AU266" s="6">
        <f t="shared" si="414"/>
        <v>2.41310162139147</v>
      </c>
      <c r="AV266" s="6"/>
      <c r="AW266" s="179">
        <f t="shared" si="415"/>
        <v>0.15541443251298553</v>
      </c>
      <c r="AX266" s="179"/>
      <c r="BA266" s="472">
        <f t="shared" si="416"/>
        <v>4.440412357513873</v>
      </c>
      <c r="BB266" s="6">
        <f t="shared" si="417"/>
        <v>0.11637257047605466</v>
      </c>
      <c r="CD266" s="581">
        <f t="shared" si="446"/>
        <v>-50</v>
      </c>
      <c r="CE266">
        <f t="shared" si="447"/>
        <v>-50</v>
      </c>
    </row>
    <row r="267" spans="5:83" x14ac:dyDescent="0.2">
      <c r="E267" s="176">
        <v>51</v>
      </c>
      <c r="F267" s="223">
        <f t="shared" si="448"/>
        <v>0.51</v>
      </c>
      <c r="G267" s="223"/>
      <c r="H267" s="223">
        <f t="shared" si="418"/>
        <v>2.5499999999999998</v>
      </c>
      <c r="I267" s="559">
        <f t="shared" si="419"/>
        <v>48</v>
      </c>
      <c r="J267" s="454">
        <f t="shared" si="420"/>
        <v>15.899999999999999</v>
      </c>
      <c r="K267" s="454">
        <f t="shared" si="421"/>
        <v>63.9</v>
      </c>
      <c r="L267" s="454"/>
      <c r="M267" s="223">
        <f t="shared" si="422"/>
        <v>0.24882629107981219</v>
      </c>
      <c r="N267" s="178">
        <f t="shared" si="423"/>
        <v>8.0619718309859145</v>
      </c>
      <c r="O267" s="178">
        <f t="shared" si="449"/>
        <v>2.5499999999999998</v>
      </c>
      <c r="P267" s="223">
        <f t="shared" si="424"/>
        <v>1.6123943661971829</v>
      </c>
      <c r="Q267" s="223">
        <f t="shared" si="425"/>
        <v>5</v>
      </c>
      <c r="R267" s="223"/>
      <c r="S267" s="178">
        <f t="shared" si="426"/>
        <v>47.629558733025299</v>
      </c>
      <c r="T267" s="178">
        <f t="shared" si="427"/>
        <v>5</v>
      </c>
      <c r="U267" s="223">
        <f t="shared" si="428"/>
        <v>0.47444968553459116</v>
      </c>
      <c r="V267" s="223">
        <f t="shared" si="429"/>
        <v>0.29653105345911945</v>
      </c>
      <c r="W267" s="223">
        <f t="shared" si="430"/>
        <v>0.89518808591432308</v>
      </c>
      <c r="X267" s="203">
        <f t="shared" si="431"/>
        <v>350</v>
      </c>
      <c r="Y267" s="454">
        <f t="shared" si="396"/>
        <v>350</v>
      </c>
      <c r="AA267" s="223">
        <f t="shared" si="432"/>
        <v>1.1374916163648559</v>
      </c>
      <c r="AB267" s="179">
        <f t="shared" si="433"/>
        <v>2.1462105969148224</v>
      </c>
      <c r="AC267" s="179">
        <f t="shared" si="434"/>
        <v>1.2816806944956125</v>
      </c>
      <c r="AD267" s="179"/>
      <c r="AE267" s="179">
        <f t="shared" si="435"/>
        <v>0.5660377358490567</v>
      </c>
      <c r="AF267" s="563">
        <f t="shared" si="436"/>
        <v>2002.2222222222217</v>
      </c>
      <c r="AG267" s="546">
        <f t="shared" si="437"/>
        <v>8.9150943396226423E-2</v>
      </c>
      <c r="AI267" s="179">
        <f t="shared" si="438"/>
        <v>0.71753546452920558</v>
      </c>
      <c r="AJ267" s="179">
        <f t="shared" si="439"/>
        <v>0.71753546452920558</v>
      </c>
      <c r="AK267" s="179">
        <f t="shared" si="440"/>
        <v>1.5092855292808931</v>
      </c>
      <c r="AM267" s="563">
        <f t="shared" si="441"/>
        <v>510</v>
      </c>
      <c r="AN267" s="472">
        <f t="shared" si="442"/>
        <v>350</v>
      </c>
      <c r="AP267">
        <f t="shared" si="443"/>
        <v>510</v>
      </c>
      <c r="AQ267">
        <f t="shared" si="444"/>
        <v>350</v>
      </c>
      <c r="AS267" s="6">
        <f t="shared" si="450"/>
        <v>2.8571428571428572</v>
      </c>
      <c r="AT267" s="6">
        <f t="shared" si="445"/>
        <v>0.44845966533075354</v>
      </c>
      <c r="AU267" s="6">
        <f t="shared" si="414"/>
        <v>2.4086831918121039</v>
      </c>
      <c r="AV267" s="6"/>
      <c r="AW267" s="179">
        <f t="shared" si="415"/>
        <v>0.15696088286576373</v>
      </c>
      <c r="AX267" s="179"/>
      <c r="BA267" s="472">
        <f t="shared" si="416"/>
        <v>4.5742885863736857</v>
      </c>
      <c r="BB267" s="6">
        <f t="shared" si="417"/>
        <v>0.11848268015279442</v>
      </c>
      <c r="CD267" s="581">
        <f t="shared" si="446"/>
        <v>-50</v>
      </c>
      <c r="CE267">
        <f t="shared" si="447"/>
        <v>-50</v>
      </c>
    </row>
    <row r="268" spans="5:83" x14ac:dyDescent="0.2">
      <c r="E268" s="176">
        <v>52</v>
      </c>
      <c r="F268" s="223">
        <f t="shared" si="448"/>
        <v>0.52</v>
      </c>
      <c r="G268" s="223"/>
      <c r="H268" s="223">
        <f t="shared" si="418"/>
        <v>2.6</v>
      </c>
      <c r="I268" s="559">
        <f t="shared" si="419"/>
        <v>48</v>
      </c>
      <c r="J268" s="454">
        <f t="shared" si="420"/>
        <v>15.899999999999999</v>
      </c>
      <c r="K268" s="454">
        <f t="shared" si="421"/>
        <v>63.9</v>
      </c>
      <c r="L268" s="454"/>
      <c r="M268" s="223">
        <f t="shared" si="422"/>
        <v>0.24882629107981219</v>
      </c>
      <c r="N268" s="178">
        <f t="shared" si="423"/>
        <v>8.0619718309859145</v>
      </c>
      <c r="O268" s="178">
        <f t="shared" si="449"/>
        <v>2.6</v>
      </c>
      <c r="P268" s="223">
        <f t="shared" si="424"/>
        <v>1.6123943661971829</v>
      </c>
      <c r="Q268" s="223">
        <f t="shared" si="425"/>
        <v>5</v>
      </c>
      <c r="R268" s="223"/>
      <c r="S268" s="178">
        <f t="shared" si="426"/>
        <v>46.410453032292459</v>
      </c>
      <c r="T268" s="178">
        <f t="shared" si="427"/>
        <v>5</v>
      </c>
      <c r="U268" s="223">
        <f t="shared" si="428"/>
        <v>0.4837526205450734</v>
      </c>
      <c r="V268" s="223">
        <f t="shared" si="429"/>
        <v>0.30234538784067089</v>
      </c>
      <c r="W268" s="223">
        <f t="shared" si="430"/>
        <v>0.91274079348127057</v>
      </c>
      <c r="X268" s="203">
        <f t="shared" si="431"/>
        <v>350</v>
      </c>
      <c r="Y268" s="454">
        <f t="shared" si="396"/>
        <v>350</v>
      </c>
      <c r="AA268" s="223">
        <f t="shared" si="432"/>
        <v>1.1374916163648559</v>
      </c>
      <c r="AB268" s="179">
        <f t="shared" si="433"/>
        <v>2.1462105969148224</v>
      </c>
      <c r="AC268" s="179">
        <f t="shared" si="434"/>
        <v>1.2816806944956125</v>
      </c>
      <c r="AD268" s="179"/>
      <c r="AE268" s="179">
        <f t="shared" si="435"/>
        <v>0.5660377358490567</v>
      </c>
      <c r="AF268" s="563">
        <f t="shared" si="436"/>
        <v>2041.4814814814811</v>
      </c>
      <c r="AG268" s="546">
        <f t="shared" si="437"/>
        <v>8.9150943396226423E-2</v>
      </c>
      <c r="AI268" s="179">
        <f t="shared" si="438"/>
        <v>0.72453597629957678</v>
      </c>
      <c r="AJ268" s="179">
        <f t="shared" si="439"/>
        <v>0.72453597629957678</v>
      </c>
      <c r="AK268" s="179">
        <f t="shared" si="440"/>
        <v>1.5144710935552421</v>
      </c>
      <c r="AM268" s="563">
        <f t="shared" si="441"/>
        <v>520</v>
      </c>
      <c r="AN268" s="472">
        <f t="shared" si="442"/>
        <v>350</v>
      </c>
      <c r="AP268">
        <f t="shared" si="443"/>
        <v>520</v>
      </c>
      <c r="AQ268">
        <f t="shared" si="444"/>
        <v>350</v>
      </c>
      <c r="AS268" s="6">
        <f t="shared" si="450"/>
        <v>2.8571428571428572</v>
      </c>
      <c r="AT268" s="6">
        <f t="shared" si="445"/>
        <v>0.45283498518723553</v>
      </c>
      <c r="AU268" s="6">
        <f t="shared" si="414"/>
        <v>2.4043078719556217</v>
      </c>
      <c r="AV268" s="6"/>
      <c r="AW268" s="179">
        <f t="shared" si="415"/>
        <v>0.15849224481553242</v>
      </c>
      <c r="AX268" s="179"/>
      <c r="BA268" s="472">
        <f t="shared" si="416"/>
        <v>4.7094838459472506</v>
      </c>
      <c r="BB268" s="6">
        <f t="shared" si="417"/>
        <v>0.12058642876320631</v>
      </c>
      <c r="CD268" s="581">
        <f t="shared" si="446"/>
        <v>-50</v>
      </c>
      <c r="CE268">
        <f t="shared" si="447"/>
        <v>-50</v>
      </c>
    </row>
    <row r="269" spans="5:83" x14ac:dyDescent="0.2">
      <c r="E269" s="176">
        <v>53</v>
      </c>
      <c r="F269" s="223">
        <f t="shared" si="448"/>
        <v>0.53</v>
      </c>
      <c r="G269" s="223"/>
      <c r="H269" s="223">
        <f t="shared" si="418"/>
        <v>2.6500000000000004</v>
      </c>
      <c r="I269" s="559">
        <f t="shared" si="419"/>
        <v>48</v>
      </c>
      <c r="J269" s="454">
        <f t="shared" si="420"/>
        <v>15.899999999999999</v>
      </c>
      <c r="K269" s="454">
        <f t="shared" si="421"/>
        <v>63.9</v>
      </c>
      <c r="L269" s="454"/>
      <c r="M269" s="223">
        <f t="shared" si="422"/>
        <v>0.24882629107981219</v>
      </c>
      <c r="N269" s="178">
        <f t="shared" si="423"/>
        <v>8.0619718309859145</v>
      </c>
      <c r="O269" s="178">
        <f t="shared" si="449"/>
        <v>2.6500000000000004</v>
      </c>
      <c r="P269" s="223">
        <f t="shared" si="424"/>
        <v>1.6123943661971829</v>
      </c>
      <c r="Q269" s="223">
        <f t="shared" si="425"/>
        <v>5</v>
      </c>
      <c r="R269" s="223"/>
      <c r="S269" s="178">
        <f t="shared" si="426"/>
        <v>45.237483141793845</v>
      </c>
      <c r="T269" s="178">
        <f t="shared" si="427"/>
        <v>5</v>
      </c>
      <c r="U269" s="223">
        <f t="shared" si="428"/>
        <v>0.49305555555555564</v>
      </c>
      <c r="V269" s="223">
        <f t="shared" si="429"/>
        <v>0.30815972222222232</v>
      </c>
      <c r="W269" s="223">
        <f t="shared" si="430"/>
        <v>0.93029350104821829</v>
      </c>
      <c r="X269" s="203">
        <f t="shared" si="431"/>
        <v>350</v>
      </c>
      <c r="Y269" s="454">
        <f t="shared" si="396"/>
        <v>350</v>
      </c>
      <c r="AA269" s="223">
        <f t="shared" si="432"/>
        <v>1.1374916163648559</v>
      </c>
      <c r="AB269" s="179">
        <f t="shared" si="433"/>
        <v>2.1462105969148224</v>
      </c>
      <c r="AC269" s="179">
        <f t="shared" si="434"/>
        <v>1.2816806944956125</v>
      </c>
      <c r="AD269" s="179"/>
      <c r="AE269" s="179">
        <f t="shared" si="435"/>
        <v>0.5660377358490567</v>
      </c>
      <c r="AF269" s="563">
        <f t="shared" si="436"/>
        <v>2080.7407407407404</v>
      </c>
      <c r="AG269" s="546">
        <f t="shared" si="437"/>
        <v>8.9150943396226423E-2</v>
      </c>
      <c r="AI269" s="179">
        <f t="shared" si="438"/>
        <v>0.73146949290289542</v>
      </c>
      <c r="AJ269" s="179">
        <f t="shared" si="439"/>
        <v>0.73146949290289542</v>
      </c>
      <c r="AK269" s="179">
        <f t="shared" si="440"/>
        <v>1.5196070317799224</v>
      </c>
      <c r="AM269" s="563">
        <f t="shared" si="441"/>
        <v>530</v>
      </c>
      <c r="AN269" s="472">
        <f t="shared" si="442"/>
        <v>350</v>
      </c>
      <c r="AP269">
        <f t="shared" si="443"/>
        <v>530</v>
      </c>
      <c r="AQ269">
        <f t="shared" si="444"/>
        <v>350</v>
      </c>
      <c r="AS269" s="6">
        <f t="shared" si="450"/>
        <v>2.8571428571428572</v>
      </c>
      <c r="AT269" s="6">
        <f t="shared" si="445"/>
        <v>0.45716843306430965</v>
      </c>
      <c r="AU269" s="6">
        <f t="shared" si="414"/>
        <v>2.3999744240785477</v>
      </c>
      <c r="AV269" s="6"/>
      <c r="AW269" s="179">
        <f t="shared" si="415"/>
        <v>0.16000895157250838</v>
      </c>
      <c r="AX269" s="179"/>
      <c r="BA269" s="472">
        <f t="shared" si="416"/>
        <v>4.8459853904816823</v>
      </c>
      <c r="BB269" s="6">
        <f t="shared" si="417"/>
        <v>0.12268387777407698</v>
      </c>
      <c r="CD269" s="581">
        <f t="shared" si="446"/>
        <v>-50</v>
      </c>
      <c r="CE269">
        <f t="shared" si="447"/>
        <v>-50</v>
      </c>
    </row>
    <row r="270" spans="5:83" x14ac:dyDescent="0.2">
      <c r="E270" s="176">
        <v>54</v>
      </c>
      <c r="F270" s="223">
        <f t="shared" si="448"/>
        <v>0.54</v>
      </c>
      <c r="G270" s="223"/>
      <c r="H270" s="223">
        <f t="shared" si="418"/>
        <v>2.7</v>
      </c>
      <c r="I270" s="559">
        <f t="shared" si="419"/>
        <v>48</v>
      </c>
      <c r="J270" s="454">
        <f t="shared" si="420"/>
        <v>15.899999999999999</v>
      </c>
      <c r="K270" s="454">
        <f t="shared" si="421"/>
        <v>63.9</v>
      </c>
      <c r="L270" s="454"/>
      <c r="M270" s="223">
        <f t="shared" si="422"/>
        <v>0.24882629107981219</v>
      </c>
      <c r="N270" s="178">
        <f t="shared" si="423"/>
        <v>8.0619718309859145</v>
      </c>
      <c r="O270" s="178">
        <f t="shared" si="449"/>
        <v>2.7</v>
      </c>
      <c r="P270" s="223">
        <f t="shared" si="424"/>
        <v>1.6123943661971829</v>
      </c>
      <c r="Q270" s="223">
        <f t="shared" si="425"/>
        <v>5</v>
      </c>
      <c r="R270" s="223"/>
      <c r="S270" s="178">
        <f t="shared" si="426"/>
        <v>44.108088417471983</v>
      </c>
      <c r="T270" s="178">
        <f t="shared" si="427"/>
        <v>5</v>
      </c>
      <c r="U270" s="223">
        <f t="shared" si="428"/>
        <v>0.50235849056603776</v>
      </c>
      <c r="V270" s="223">
        <f t="shared" si="429"/>
        <v>0.31397405660377359</v>
      </c>
      <c r="W270" s="223">
        <f t="shared" si="430"/>
        <v>0.94784620861516566</v>
      </c>
      <c r="X270" s="203">
        <f t="shared" si="431"/>
        <v>350</v>
      </c>
      <c r="Y270" s="454">
        <f t="shared" si="396"/>
        <v>350</v>
      </c>
      <c r="AA270" s="223">
        <f t="shared" si="432"/>
        <v>1.1374916163648559</v>
      </c>
      <c r="AB270" s="179">
        <f t="shared" si="433"/>
        <v>2.1462105969148224</v>
      </c>
      <c r="AC270" s="179">
        <f t="shared" si="434"/>
        <v>1.2816806944956125</v>
      </c>
      <c r="AD270" s="179"/>
      <c r="AE270" s="179">
        <f t="shared" si="435"/>
        <v>0.5660377358490567</v>
      </c>
      <c r="AF270" s="563">
        <f t="shared" si="436"/>
        <v>2119.9999999999995</v>
      </c>
      <c r="AG270" s="546">
        <f t="shared" si="437"/>
        <v>8.9150943396226423E-2</v>
      </c>
      <c r="AI270" s="179">
        <f t="shared" si="438"/>
        <v>0.73833790173798952</v>
      </c>
      <c r="AJ270" s="179">
        <f t="shared" si="439"/>
        <v>0.73833790173798952</v>
      </c>
      <c r="AK270" s="179">
        <f t="shared" si="440"/>
        <v>1.5246947420281405</v>
      </c>
      <c r="AM270" s="563">
        <f t="shared" si="441"/>
        <v>540</v>
      </c>
      <c r="AN270" s="472">
        <f t="shared" si="442"/>
        <v>350</v>
      </c>
      <c r="AP270">
        <f t="shared" si="443"/>
        <v>540</v>
      </c>
      <c r="AQ270">
        <f t="shared" si="444"/>
        <v>350</v>
      </c>
      <c r="AS270" s="6">
        <f t="shared" si="450"/>
        <v>2.8571428571428572</v>
      </c>
      <c r="AT270" s="6">
        <f t="shared" si="445"/>
        <v>0.46146118858624352</v>
      </c>
      <c r="AU270" s="6">
        <f t="shared" si="414"/>
        <v>2.3956816685566138</v>
      </c>
      <c r="AV270" s="6"/>
      <c r="AW270" s="179">
        <f t="shared" si="415"/>
        <v>0.16151141600518523</v>
      </c>
      <c r="AX270" s="179"/>
      <c r="BA270" s="472">
        <f t="shared" si="416"/>
        <v>4.9837808367314302</v>
      </c>
      <c r="BB270" s="6">
        <f t="shared" si="417"/>
        <v>0.12477508690399028</v>
      </c>
      <c r="CD270" s="581">
        <f t="shared" si="446"/>
        <v>-50</v>
      </c>
      <c r="CE270">
        <f t="shared" si="447"/>
        <v>-50</v>
      </c>
    </row>
    <row r="271" spans="5:83" x14ac:dyDescent="0.2">
      <c r="E271" s="176">
        <v>55</v>
      </c>
      <c r="F271" s="223">
        <f t="shared" si="448"/>
        <v>0.55000000000000004</v>
      </c>
      <c r="G271" s="223"/>
      <c r="H271" s="223">
        <f t="shared" si="418"/>
        <v>2.75</v>
      </c>
      <c r="I271" s="559">
        <f t="shared" si="419"/>
        <v>48</v>
      </c>
      <c r="J271" s="454">
        <f t="shared" si="420"/>
        <v>15.899999999999999</v>
      </c>
      <c r="K271" s="454">
        <f t="shared" si="421"/>
        <v>63.9</v>
      </c>
      <c r="L271" s="454"/>
      <c r="M271" s="223">
        <f t="shared" si="422"/>
        <v>0.24882629107981219</v>
      </c>
      <c r="N271" s="178">
        <f t="shared" si="423"/>
        <v>8.0619718309859145</v>
      </c>
      <c r="O271" s="178">
        <f t="shared" si="449"/>
        <v>2.75</v>
      </c>
      <c r="P271" s="223">
        <f t="shared" si="424"/>
        <v>1.6123943661971829</v>
      </c>
      <c r="Q271" s="223">
        <f t="shared" si="425"/>
        <v>5</v>
      </c>
      <c r="R271" s="223"/>
      <c r="S271" s="178">
        <f t="shared" si="426"/>
        <v>43.019894503030045</v>
      </c>
      <c r="T271" s="178">
        <f t="shared" si="427"/>
        <v>5</v>
      </c>
      <c r="U271" s="223">
        <f t="shared" si="428"/>
        <v>0.51166142557651995</v>
      </c>
      <c r="V271" s="223">
        <f t="shared" si="429"/>
        <v>0.31978839098532497</v>
      </c>
      <c r="W271" s="223">
        <f t="shared" si="430"/>
        <v>0.96539891618211315</v>
      </c>
      <c r="X271" s="203">
        <f t="shared" si="431"/>
        <v>350</v>
      </c>
      <c r="Y271" s="454">
        <f t="shared" si="396"/>
        <v>350</v>
      </c>
      <c r="AA271" s="223">
        <f t="shared" si="432"/>
        <v>1.1374916163648559</v>
      </c>
      <c r="AB271" s="179">
        <f t="shared" si="433"/>
        <v>2.1462105969148224</v>
      </c>
      <c r="AC271" s="179">
        <f t="shared" si="434"/>
        <v>1.2816806944956125</v>
      </c>
      <c r="AD271" s="179"/>
      <c r="AE271" s="179">
        <f t="shared" si="435"/>
        <v>0.5660377358490567</v>
      </c>
      <c r="AF271" s="563">
        <f t="shared" si="436"/>
        <v>2159.2592592592587</v>
      </c>
      <c r="AG271" s="546">
        <f t="shared" si="437"/>
        <v>8.9150943396226423E-2</v>
      </c>
      <c r="AI271" s="179">
        <f t="shared" si="438"/>
        <v>0.74514300321354099</v>
      </c>
      <c r="AJ271" s="179">
        <f t="shared" si="439"/>
        <v>0.74514300321354099</v>
      </c>
      <c r="AK271" s="179">
        <f t="shared" si="440"/>
        <v>1.5297355579359562</v>
      </c>
      <c r="AM271" s="563">
        <f t="shared" si="441"/>
        <v>550</v>
      </c>
      <c r="AN271" s="472">
        <f t="shared" si="442"/>
        <v>350</v>
      </c>
      <c r="AP271">
        <f t="shared" si="443"/>
        <v>550</v>
      </c>
      <c r="AQ271">
        <f t="shared" si="444"/>
        <v>350</v>
      </c>
      <c r="AS271" s="6">
        <f t="shared" si="450"/>
        <v>2.8571428571428572</v>
      </c>
      <c r="AT271" s="6">
        <f t="shared" si="445"/>
        <v>0.46571437700846313</v>
      </c>
      <c r="AU271" s="6">
        <f t="shared" si="414"/>
        <v>2.3914284801343939</v>
      </c>
      <c r="AV271" s="6"/>
      <c r="AW271" s="179">
        <f t="shared" si="415"/>
        <v>0.16300003195296209</v>
      </c>
      <c r="AX271" s="179"/>
      <c r="BA271" s="472">
        <f t="shared" si="416"/>
        <v>5.1228581470930949</v>
      </c>
      <c r="BB271" s="6">
        <f t="shared" si="417"/>
        <v>0.12686011420466015</v>
      </c>
      <c r="CD271" s="581">
        <f t="shared" si="446"/>
        <v>-50</v>
      </c>
      <c r="CE271">
        <f t="shared" si="447"/>
        <v>-50</v>
      </c>
    </row>
    <row r="272" spans="5:83" x14ac:dyDescent="0.2">
      <c r="E272" s="176">
        <v>56</v>
      </c>
      <c r="F272" s="223">
        <f t="shared" si="448"/>
        <v>0.56000000000000005</v>
      </c>
      <c r="G272" s="223"/>
      <c r="H272" s="223">
        <f t="shared" si="418"/>
        <v>2.8000000000000003</v>
      </c>
      <c r="I272" s="559">
        <f t="shared" si="419"/>
        <v>48</v>
      </c>
      <c r="J272" s="454">
        <f t="shared" si="420"/>
        <v>15.899999999999999</v>
      </c>
      <c r="K272" s="454">
        <f t="shared" si="421"/>
        <v>63.9</v>
      </c>
      <c r="L272" s="454"/>
      <c r="M272" s="223">
        <f t="shared" si="422"/>
        <v>0.24882629107981219</v>
      </c>
      <c r="N272" s="178">
        <f t="shared" si="423"/>
        <v>8.0619718309859145</v>
      </c>
      <c r="O272" s="178">
        <f t="shared" si="449"/>
        <v>2.8000000000000003</v>
      </c>
      <c r="P272" s="223">
        <f t="shared" si="424"/>
        <v>1.6123943661971829</v>
      </c>
      <c r="Q272" s="223">
        <f t="shared" si="425"/>
        <v>5</v>
      </c>
      <c r="R272" s="223"/>
      <c r="S272" s="178">
        <f t="shared" si="426"/>
        <v>41.970696698807721</v>
      </c>
      <c r="T272" s="178">
        <f t="shared" si="427"/>
        <v>5</v>
      </c>
      <c r="U272" s="223">
        <f t="shared" si="428"/>
        <v>0.52096436058700213</v>
      </c>
      <c r="V272" s="223">
        <f t="shared" si="429"/>
        <v>0.32560272536687634</v>
      </c>
      <c r="W272" s="223">
        <f t="shared" si="430"/>
        <v>0.98295162374906053</v>
      </c>
      <c r="X272" s="203">
        <f t="shared" si="431"/>
        <v>350</v>
      </c>
      <c r="Y272" s="454">
        <f t="shared" si="396"/>
        <v>350</v>
      </c>
      <c r="AA272" s="223">
        <f t="shared" si="432"/>
        <v>1.1374916163648559</v>
      </c>
      <c r="AB272" s="179">
        <f t="shared" si="433"/>
        <v>2.1462105969148224</v>
      </c>
      <c r="AC272" s="179">
        <f t="shared" si="434"/>
        <v>1.2816806944956125</v>
      </c>
      <c r="AD272" s="179"/>
      <c r="AE272" s="179">
        <f t="shared" si="435"/>
        <v>0.5660377358490567</v>
      </c>
      <c r="AF272" s="563">
        <f t="shared" si="436"/>
        <v>2198.5185185185182</v>
      </c>
      <c r="AG272" s="546">
        <f t="shared" si="437"/>
        <v>8.9150943396226423E-2</v>
      </c>
      <c r="AI272" s="179">
        <f t="shared" si="438"/>
        <v>0.75188651625982317</v>
      </c>
      <c r="AJ272" s="179">
        <f t="shared" si="439"/>
        <v>0.75188651625982317</v>
      </c>
      <c r="AK272" s="179">
        <f t="shared" si="440"/>
        <v>1.5347307527850542</v>
      </c>
      <c r="AM272" s="563">
        <f t="shared" si="441"/>
        <v>560</v>
      </c>
      <c r="AN272" s="472">
        <f t="shared" si="442"/>
        <v>350</v>
      </c>
      <c r="AP272">
        <f t="shared" si="443"/>
        <v>560</v>
      </c>
      <c r="AQ272">
        <f t="shared" si="444"/>
        <v>350</v>
      </c>
      <c r="AS272" s="6">
        <f t="shared" si="450"/>
        <v>2.8571428571428572</v>
      </c>
      <c r="AT272" s="6">
        <f t="shared" si="445"/>
        <v>0.46992907266238948</v>
      </c>
      <c r="AU272" s="6">
        <f t="shared" si="414"/>
        <v>2.3872137844804677</v>
      </c>
      <c r="AV272" s="6"/>
      <c r="AW272" s="179">
        <f t="shared" si="415"/>
        <v>0.16447517543183632</v>
      </c>
      <c r="AX272" s="179"/>
      <c r="BA272" s="472">
        <f t="shared" si="416"/>
        <v>5.2632056138187622</v>
      </c>
      <c r="BB272" s="6">
        <f t="shared" si="417"/>
        <v>0.12893901613706227</v>
      </c>
      <c r="CD272" s="581">
        <f t="shared" si="446"/>
        <v>-50</v>
      </c>
      <c r="CE272">
        <f t="shared" si="447"/>
        <v>-50</v>
      </c>
    </row>
    <row r="273" spans="5:83" x14ac:dyDescent="0.2">
      <c r="E273" s="176">
        <v>57</v>
      </c>
      <c r="F273" s="223">
        <f t="shared" si="448"/>
        <v>0.56999999999999995</v>
      </c>
      <c r="G273" s="223"/>
      <c r="H273" s="223">
        <f t="shared" si="418"/>
        <v>2.8499999999999996</v>
      </c>
      <c r="I273" s="559">
        <f t="shared" si="419"/>
        <v>48</v>
      </c>
      <c r="J273" s="454">
        <f t="shared" si="420"/>
        <v>15.899999999999999</v>
      </c>
      <c r="K273" s="454">
        <f t="shared" si="421"/>
        <v>63.9</v>
      </c>
      <c r="L273" s="454"/>
      <c r="M273" s="223">
        <f t="shared" si="422"/>
        <v>0.24882629107981219</v>
      </c>
      <c r="N273" s="178">
        <f t="shared" si="423"/>
        <v>8.0619718309859145</v>
      </c>
      <c r="O273" s="178">
        <f t="shared" si="449"/>
        <v>2.8499999999999996</v>
      </c>
      <c r="P273" s="223">
        <f t="shared" si="424"/>
        <v>1.6123943661971829</v>
      </c>
      <c r="Q273" s="223">
        <f t="shared" si="425"/>
        <v>5</v>
      </c>
      <c r="R273" s="223"/>
      <c r="S273" s="178">
        <f t="shared" si="426"/>
        <v>40.958445081358384</v>
      </c>
      <c r="T273" s="178">
        <f t="shared" si="427"/>
        <v>5</v>
      </c>
      <c r="U273" s="223">
        <f t="shared" si="428"/>
        <v>0.5302672955974842</v>
      </c>
      <c r="V273" s="223">
        <f t="shared" si="429"/>
        <v>0.33141705974842761</v>
      </c>
      <c r="W273" s="223">
        <f t="shared" si="430"/>
        <v>1.000504331316008</v>
      </c>
      <c r="X273" s="203">
        <f t="shared" si="431"/>
        <v>350</v>
      </c>
      <c r="Y273" s="454">
        <f t="shared" si="396"/>
        <v>350</v>
      </c>
      <c r="AA273" s="223">
        <f t="shared" si="432"/>
        <v>1.1374916163648559</v>
      </c>
      <c r="AB273" s="179">
        <f t="shared" si="433"/>
        <v>2.1462105969148224</v>
      </c>
      <c r="AC273" s="179">
        <f t="shared" si="434"/>
        <v>1.2816806944956125</v>
      </c>
      <c r="AD273" s="179"/>
      <c r="AE273" s="179">
        <f t="shared" si="435"/>
        <v>0.5660377358490567</v>
      </c>
      <c r="AF273" s="563">
        <f t="shared" si="436"/>
        <v>2237.7777777777769</v>
      </c>
      <c r="AG273" s="546">
        <f t="shared" si="437"/>
        <v>8.9150943396226423E-2</v>
      </c>
      <c r="AI273" s="179">
        <f t="shared" si="438"/>
        <v>0.75857008339939913</v>
      </c>
      <c r="AJ273" s="179">
        <f t="shared" si="439"/>
        <v>0.75857008339939913</v>
      </c>
      <c r="AK273" s="179">
        <f t="shared" si="440"/>
        <v>1.5396815432588142</v>
      </c>
      <c r="AM273" s="563">
        <f t="shared" si="441"/>
        <v>570</v>
      </c>
      <c r="AN273" s="472">
        <f t="shared" si="442"/>
        <v>350</v>
      </c>
      <c r="AP273">
        <f t="shared" si="443"/>
        <v>570</v>
      </c>
      <c r="AQ273">
        <f t="shared" si="444"/>
        <v>350</v>
      </c>
      <c r="AS273" s="6">
        <f t="shared" si="450"/>
        <v>2.8571428571428572</v>
      </c>
      <c r="AT273" s="6">
        <f t="shared" si="445"/>
        <v>0.47410630212462446</v>
      </c>
      <c r="AU273" s="6">
        <f t="shared" si="414"/>
        <v>2.3830365550182329</v>
      </c>
      <c r="AV273" s="6"/>
      <c r="AW273" s="179">
        <f t="shared" si="415"/>
        <v>0.16593720574361856</v>
      </c>
      <c r="AX273" s="179"/>
      <c r="BA273" s="472">
        <f t="shared" si="416"/>
        <v>5.4048118442207187</v>
      </c>
      <c r="BB273" s="6">
        <f t="shared" si="417"/>
        <v>0.13101184764278473</v>
      </c>
      <c r="CD273" s="581">
        <f t="shared" si="446"/>
        <v>-50</v>
      </c>
      <c r="CE273">
        <f t="shared" si="447"/>
        <v>-50</v>
      </c>
    </row>
    <row r="274" spans="5:83" x14ac:dyDescent="0.2">
      <c r="E274" s="176">
        <v>58</v>
      </c>
      <c r="F274" s="223">
        <f t="shared" si="448"/>
        <v>0.57999999999999996</v>
      </c>
      <c r="G274" s="223"/>
      <c r="H274" s="223">
        <f t="shared" si="418"/>
        <v>2.9</v>
      </c>
      <c r="I274" s="559">
        <f t="shared" si="419"/>
        <v>48</v>
      </c>
      <c r="J274" s="454">
        <f t="shared" si="420"/>
        <v>15.899999999999999</v>
      </c>
      <c r="K274" s="454">
        <f t="shared" si="421"/>
        <v>63.9</v>
      </c>
      <c r="L274" s="454"/>
      <c r="M274" s="223">
        <f t="shared" si="422"/>
        <v>0.24882629107981219</v>
      </c>
      <c r="N274" s="178">
        <f t="shared" si="423"/>
        <v>8.0619718309859145</v>
      </c>
      <c r="O274" s="178">
        <f t="shared" si="449"/>
        <v>2.9</v>
      </c>
      <c r="P274" s="223">
        <f t="shared" si="424"/>
        <v>1.6123943661971829</v>
      </c>
      <c r="Q274" s="223">
        <f t="shared" si="425"/>
        <v>5</v>
      </c>
      <c r="R274" s="223"/>
      <c r="S274" s="178">
        <f t="shared" si="426"/>
        <v>39.981231162438277</v>
      </c>
      <c r="T274" s="178">
        <f t="shared" si="427"/>
        <v>5</v>
      </c>
      <c r="U274" s="223">
        <f t="shared" si="428"/>
        <v>0.53957023060796649</v>
      </c>
      <c r="V274" s="223">
        <f t="shared" si="429"/>
        <v>0.33723139412997905</v>
      </c>
      <c r="W274" s="223">
        <f t="shared" si="430"/>
        <v>1.0180570388829557</v>
      </c>
      <c r="X274" s="203">
        <f t="shared" si="431"/>
        <v>350</v>
      </c>
      <c r="Y274" s="454">
        <f t="shared" si="396"/>
        <v>350</v>
      </c>
      <c r="AA274" s="223">
        <f t="shared" si="432"/>
        <v>1.1374916163648559</v>
      </c>
      <c r="AB274" s="179">
        <f t="shared" si="433"/>
        <v>2.1462105969148224</v>
      </c>
      <c r="AC274" s="179">
        <f t="shared" si="434"/>
        <v>1.2816806944956125</v>
      </c>
      <c r="AD274" s="179"/>
      <c r="AE274" s="179">
        <f t="shared" si="435"/>
        <v>0.5660377358490567</v>
      </c>
      <c r="AF274" s="563">
        <f t="shared" si="436"/>
        <v>2277.0370370370365</v>
      </c>
      <c r="AG274" s="546">
        <f t="shared" si="437"/>
        <v>8.9150943396226423E-2</v>
      </c>
      <c r="AI274" s="179">
        <f t="shared" si="438"/>
        <v>0.76519527541916343</v>
      </c>
      <c r="AJ274" s="179">
        <f t="shared" si="439"/>
        <v>0.76519527541916343</v>
      </c>
      <c r="AK274" s="179">
        <f t="shared" si="440"/>
        <v>1.5445890929030841</v>
      </c>
      <c r="AM274" s="563">
        <f t="shared" si="441"/>
        <v>580</v>
      </c>
      <c r="AN274" s="472">
        <f t="shared" si="442"/>
        <v>350</v>
      </c>
      <c r="AP274">
        <f t="shared" si="443"/>
        <v>580</v>
      </c>
      <c r="AQ274">
        <f t="shared" si="444"/>
        <v>350</v>
      </c>
      <c r="AS274" s="6">
        <f t="shared" si="450"/>
        <v>2.8571428571428572</v>
      </c>
      <c r="AT274" s="6">
        <f t="shared" si="445"/>
        <v>0.47824704713697719</v>
      </c>
      <c r="AU274" s="6">
        <f t="shared" si="414"/>
        <v>2.3788958100058801</v>
      </c>
      <c r="AV274" s="6"/>
      <c r="AW274" s="179">
        <f t="shared" si="415"/>
        <v>0.167386466497942</v>
      </c>
      <c r="AX274" s="179"/>
      <c r="BA274" s="472">
        <f t="shared" si="416"/>
        <v>5.547665746788935</v>
      </c>
      <c r="BB274" s="6">
        <f t="shared" si="417"/>
        <v>0.13307866221097706</v>
      </c>
      <c r="CD274" s="581">
        <f t="shared" si="446"/>
        <v>-50</v>
      </c>
      <c r="CE274">
        <f t="shared" si="447"/>
        <v>-50</v>
      </c>
    </row>
    <row r="275" spans="5:83" x14ac:dyDescent="0.2">
      <c r="E275" s="176">
        <v>59</v>
      </c>
      <c r="F275" s="223">
        <f t="shared" si="448"/>
        <v>0.59</v>
      </c>
      <c r="G275" s="223"/>
      <c r="H275" s="223">
        <f t="shared" si="418"/>
        <v>2.9499999999999997</v>
      </c>
      <c r="I275" s="559">
        <f t="shared" si="419"/>
        <v>48</v>
      </c>
      <c r="J275" s="454">
        <f t="shared" si="420"/>
        <v>15.899999999999999</v>
      </c>
      <c r="K275" s="454">
        <f t="shared" si="421"/>
        <v>63.9</v>
      </c>
      <c r="L275" s="454"/>
      <c r="M275" s="223">
        <f t="shared" si="422"/>
        <v>0.24882629107981219</v>
      </c>
      <c r="N275" s="178">
        <f t="shared" si="423"/>
        <v>8.0619718309859145</v>
      </c>
      <c r="O275" s="178">
        <f t="shared" si="449"/>
        <v>2.9499999999999997</v>
      </c>
      <c r="P275" s="223">
        <f t="shared" si="424"/>
        <v>1.6123943661971829</v>
      </c>
      <c r="Q275" s="223">
        <f t="shared" si="425"/>
        <v>5</v>
      </c>
      <c r="R275" s="223"/>
      <c r="S275" s="178">
        <f t="shared" si="426"/>
        <v>39.037275904767611</v>
      </c>
      <c r="T275" s="178">
        <f t="shared" si="427"/>
        <v>5</v>
      </c>
      <c r="U275" s="223">
        <f t="shared" si="428"/>
        <v>0.54887316561844857</v>
      </c>
      <c r="V275" s="223">
        <f t="shared" si="429"/>
        <v>0.34304572851153037</v>
      </c>
      <c r="W275" s="223">
        <f t="shared" si="430"/>
        <v>1.035609746449903</v>
      </c>
      <c r="X275" s="203">
        <f t="shared" si="431"/>
        <v>350</v>
      </c>
      <c r="Y275" s="454">
        <f t="shared" si="396"/>
        <v>350</v>
      </c>
      <c r="AA275" s="223">
        <f t="shared" si="432"/>
        <v>1.1374916163648559</v>
      </c>
      <c r="AB275" s="179">
        <f t="shared" si="433"/>
        <v>2.1462105969148224</v>
      </c>
      <c r="AC275" s="179">
        <f t="shared" si="434"/>
        <v>1.2816806944956125</v>
      </c>
      <c r="AD275" s="179"/>
      <c r="AE275" s="179">
        <f t="shared" si="435"/>
        <v>0.5660377358490567</v>
      </c>
      <c r="AF275" s="563">
        <f t="shared" si="436"/>
        <v>2316.2962962962956</v>
      </c>
      <c r="AG275" s="546">
        <f t="shared" si="437"/>
        <v>8.9150943396226423E-2</v>
      </c>
      <c r="AI275" s="179">
        <f t="shared" si="438"/>
        <v>0.77176359568137676</v>
      </c>
      <c r="AJ275" s="179">
        <f t="shared" si="439"/>
        <v>0.77176359568137676</v>
      </c>
      <c r="AK275" s="179">
        <f t="shared" si="440"/>
        <v>1.5494545153195383</v>
      </c>
      <c r="AM275" s="563">
        <f t="shared" si="441"/>
        <v>590</v>
      </c>
      <c r="AN275" s="472">
        <f t="shared" si="442"/>
        <v>350</v>
      </c>
      <c r="AP275">
        <f t="shared" si="443"/>
        <v>590</v>
      </c>
      <c r="AQ275">
        <f t="shared" si="444"/>
        <v>350</v>
      </c>
      <c r="AS275" s="6">
        <f t="shared" si="450"/>
        <v>2.8571428571428572</v>
      </c>
      <c r="AT275" s="6">
        <f t="shared" si="445"/>
        <v>0.48235224730086051</v>
      </c>
      <c r="AU275" s="6">
        <f t="shared" si="414"/>
        <v>2.3747906098419969</v>
      </c>
      <c r="AV275" s="6"/>
      <c r="AW275" s="179">
        <f t="shared" si="415"/>
        <v>0.16882328655530118</v>
      </c>
      <c r="AX275" s="179"/>
      <c r="BA275" s="472">
        <f t="shared" si="416"/>
        <v>5.6917565181501537</v>
      </c>
      <c r="BB275" s="6">
        <f t="shared" si="417"/>
        <v>0.13513951194124013</v>
      </c>
      <c r="CD275" s="581">
        <f t="shared" si="446"/>
        <v>-50</v>
      </c>
      <c r="CE275">
        <f t="shared" si="447"/>
        <v>-50</v>
      </c>
    </row>
    <row r="276" spans="5:83" x14ac:dyDescent="0.2">
      <c r="E276" s="176">
        <v>60</v>
      </c>
      <c r="F276" s="223">
        <f t="shared" si="448"/>
        <v>0.6</v>
      </c>
      <c r="G276" s="223"/>
      <c r="H276" s="223">
        <f t="shared" si="418"/>
        <v>3</v>
      </c>
      <c r="I276" s="559">
        <f t="shared" si="419"/>
        <v>48</v>
      </c>
      <c r="J276" s="454">
        <f t="shared" si="420"/>
        <v>15.899999999999999</v>
      </c>
      <c r="K276" s="454">
        <f t="shared" si="421"/>
        <v>63.9</v>
      </c>
      <c r="L276" s="454"/>
      <c r="M276" s="223">
        <f t="shared" si="422"/>
        <v>0.24882629107981219</v>
      </c>
      <c r="N276" s="178">
        <f t="shared" si="423"/>
        <v>8.0619718309859145</v>
      </c>
      <c r="O276" s="178">
        <f t="shared" si="449"/>
        <v>3</v>
      </c>
      <c r="P276" s="223">
        <f t="shared" si="424"/>
        <v>1.6123943661971829</v>
      </c>
      <c r="Q276" s="223">
        <f t="shared" si="425"/>
        <v>5</v>
      </c>
      <c r="R276" s="223"/>
      <c r="S276" s="178">
        <f t="shared" si="426"/>
        <v>38.124918936275712</v>
      </c>
      <c r="T276" s="178">
        <f t="shared" si="427"/>
        <v>5</v>
      </c>
      <c r="U276" s="223">
        <f t="shared" si="428"/>
        <v>0.55817610062893086</v>
      </c>
      <c r="V276" s="223">
        <f t="shared" si="429"/>
        <v>0.3488600628930818</v>
      </c>
      <c r="W276" s="223">
        <f t="shared" si="430"/>
        <v>1.0531624540168507</v>
      </c>
      <c r="X276" s="203">
        <f t="shared" si="431"/>
        <v>350</v>
      </c>
      <c r="Y276" s="454">
        <f t="shared" ref="Y276:Y316" si="451">MIN(1/(V276+W276)*1000, 350)</f>
        <v>350</v>
      </c>
      <c r="AA276" s="223">
        <f t="shared" si="432"/>
        <v>1.1374916163648559</v>
      </c>
      <c r="AB276" s="179">
        <f t="shared" si="433"/>
        <v>2.1462105969148224</v>
      </c>
      <c r="AC276" s="179">
        <f t="shared" si="434"/>
        <v>1.2816806944956125</v>
      </c>
      <c r="AD276" s="179"/>
      <c r="AE276" s="179">
        <f t="shared" si="435"/>
        <v>0.5660377358490567</v>
      </c>
      <c r="AF276" s="563">
        <f t="shared" si="436"/>
        <v>2355.5555555555552</v>
      </c>
      <c r="AG276" s="546">
        <f t="shared" si="437"/>
        <v>8.9150943396226423E-2</v>
      </c>
      <c r="AI276" s="179">
        <f t="shared" si="438"/>
        <v>0.7782764841072134</v>
      </c>
      <c r="AJ276" s="179">
        <f t="shared" si="439"/>
        <v>0.7782764841072134</v>
      </c>
      <c r="AK276" s="179">
        <f t="shared" si="440"/>
        <v>1.5542788771164544</v>
      </c>
      <c r="AM276" s="563">
        <f t="shared" si="441"/>
        <v>600</v>
      </c>
      <c r="AN276" s="472">
        <f t="shared" si="442"/>
        <v>350</v>
      </c>
      <c r="AP276">
        <f t="shared" si="443"/>
        <v>600</v>
      </c>
      <c r="AQ276">
        <f t="shared" si="444"/>
        <v>350</v>
      </c>
      <c r="AS276" s="6">
        <f t="shared" si="450"/>
        <v>2.8571428571428572</v>
      </c>
      <c r="AT276" s="6">
        <f t="shared" si="445"/>
        <v>0.48642280256700843</v>
      </c>
      <c r="AU276" s="6">
        <f t="shared" si="414"/>
        <v>2.3707200545758487</v>
      </c>
      <c r="AV276" s="6"/>
      <c r="AW276" s="179">
        <f t="shared" si="415"/>
        <v>0.17024798089845294</v>
      </c>
      <c r="AX276" s="179"/>
      <c r="BA276" s="472">
        <f t="shared" si="416"/>
        <v>5.8370736308041007</v>
      </c>
      <c r="BB276" s="6">
        <f t="shared" si="417"/>
        <v>0.13719444760276897</v>
      </c>
      <c r="CD276" s="581">
        <f t="shared" si="446"/>
        <v>-50</v>
      </c>
      <c r="CE276">
        <f t="shared" si="447"/>
        <v>-50</v>
      </c>
    </row>
    <row r="277" spans="5:83" x14ac:dyDescent="0.2">
      <c r="E277" s="176">
        <v>61</v>
      </c>
      <c r="F277" s="223">
        <f t="shared" si="448"/>
        <v>0.61</v>
      </c>
      <c r="G277" s="223"/>
      <c r="H277" s="223">
        <f t="shared" si="418"/>
        <v>3.05</v>
      </c>
      <c r="I277" s="559">
        <f t="shared" si="419"/>
        <v>48</v>
      </c>
      <c r="J277" s="454">
        <f t="shared" si="420"/>
        <v>15.899999999999999</v>
      </c>
      <c r="K277" s="454">
        <f t="shared" si="421"/>
        <v>63.9</v>
      </c>
      <c r="L277" s="454"/>
      <c r="M277" s="223">
        <f t="shared" si="422"/>
        <v>0.24882629107981219</v>
      </c>
      <c r="N277" s="178">
        <f t="shared" si="423"/>
        <v>8.0619718309859145</v>
      </c>
      <c r="O277" s="178">
        <f t="shared" si="449"/>
        <v>3.05</v>
      </c>
      <c r="P277" s="223">
        <f t="shared" si="424"/>
        <v>1.6123943661971829</v>
      </c>
      <c r="Q277" s="223">
        <f t="shared" si="425"/>
        <v>5</v>
      </c>
      <c r="R277" s="223"/>
      <c r="S277" s="178">
        <f t="shared" si="426"/>
        <v>37.242608825301346</v>
      </c>
      <c r="T277" s="178">
        <f t="shared" si="427"/>
        <v>5</v>
      </c>
      <c r="U277" s="223">
        <f t="shared" si="428"/>
        <v>0.56747903563941293</v>
      </c>
      <c r="V277" s="223">
        <f t="shared" si="429"/>
        <v>0.35467439727463307</v>
      </c>
      <c r="W277" s="223">
        <f t="shared" si="430"/>
        <v>1.070715161583798</v>
      </c>
      <c r="X277" s="203">
        <f t="shared" si="431"/>
        <v>350</v>
      </c>
      <c r="Y277" s="454">
        <f t="shared" si="451"/>
        <v>350</v>
      </c>
      <c r="AA277" s="223">
        <f t="shared" si="432"/>
        <v>1.1374916163648559</v>
      </c>
      <c r="AB277" s="179">
        <f t="shared" si="433"/>
        <v>2.1462105969148224</v>
      </c>
      <c r="AC277" s="179">
        <f t="shared" si="434"/>
        <v>1.2816806944956125</v>
      </c>
      <c r="AD277" s="179"/>
      <c r="AE277" s="179">
        <f t="shared" si="435"/>
        <v>0.5660377358490567</v>
      </c>
      <c r="AF277" s="563">
        <f t="shared" si="436"/>
        <v>2394.8148148148143</v>
      </c>
      <c r="AG277" s="546">
        <f t="shared" si="437"/>
        <v>8.9150943396226423E-2</v>
      </c>
      <c r="AI277" s="179">
        <f t="shared" si="438"/>
        <v>0.78473532086272479</v>
      </c>
      <c r="AJ277" s="179">
        <f t="shared" si="439"/>
        <v>0.78473532086272479</v>
      </c>
      <c r="AK277" s="179">
        <f t="shared" si="440"/>
        <v>1.5590632006390552</v>
      </c>
      <c r="AM277" s="563">
        <f t="shared" si="441"/>
        <v>610</v>
      </c>
      <c r="AN277" s="472">
        <f t="shared" si="442"/>
        <v>350</v>
      </c>
      <c r="AP277">
        <f t="shared" si="443"/>
        <v>610</v>
      </c>
      <c r="AQ277">
        <f t="shared" si="444"/>
        <v>350</v>
      </c>
      <c r="AS277" s="6">
        <f t="shared" si="450"/>
        <v>2.8571428571428572</v>
      </c>
      <c r="AT277" s="6">
        <f t="shared" si="445"/>
        <v>0.49045957553920305</v>
      </c>
      <c r="AU277" s="6">
        <f t="shared" si="414"/>
        <v>2.3666832816036543</v>
      </c>
      <c r="AV277" s="6"/>
      <c r="AW277" s="179">
        <f t="shared" si="415"/>
        <v>0.17166085143872106</v>
      </c>
      <c r="AX277" s="179"/>
      <c r="BA277" s="472">
        <f t="shared" si="416"/>
        <v>5.9836068215782765</v>
      </c>
      <c r="BB277" s="6">
        <f t="shared" si="417"/>
        <v>0.13924351869002977</v>
      </c>
      <c r="CD277" s="581">
        <f t="shared" si="446"/>
        <v>-50</v>
      </c>
      <c r="CE277">
        <f t="shared" si="447"/>
        <v>-50</v>
      </c>
    </row>
    <row r="278" spans="5:83" x14ac:dyDescent="0.2">
      <c r="E278" s="176">
        <v>62</v>
      </c>
      <c r="F278" s="223">
        <f t="shared" si="448"/>
        <v>0.62</v>
      </c>
      <c r="G278" s="223"/>
      <c r="H278" s="223">
        <f t="shared" si="418"/>
        <v>3.1</v>
      </c>
      <c r="I278" s="559">
        <f t="shared" si="419"/>
        <v>48</v>
      </c>
      <c r="J278" s="454">
        <f t="shared" si="420"/>
        <v>15.899999999999999</v>
      </c>
      <c r="K278" s="454">
        <f t="shared" si="421"/>
        <v>63.9</v>
      </c>
      <c r="L278" s="454"/>
      <c r="M278" s="223">
        <f t="shared" si="422"/>
        <v>0.24882629107981219</v>
      </c>
      <c r="N278" s="178">
        <f t="shared" si="423"/>
        <v>8.0619718309859145</v>
      </c>
      <c r="O278" s="178">
        <f t="shared" si="449"/>
        <v>3.1</v>
      </c>
      <c r="P278" s="223">
        <f t="shared" si="424"/>
        <v>1.6123943661971829</v>
      </c>
      <c r="Q278" s="223">
        <f t="shared" si="425"/>
        <v>5</v>
      </c>
      <c r="R278" s="223"/>
      <c r="S278" s="178">
        <f t="shared" si="426"/>
        <v>36.38889429696539</v>
      </c>
      <c r="T278" s="178">
        <f t="shared" si="427"/>
        <v>5</v>
      </c>
      <c r="U278" s="223">
        <f t="shared" si="428"/>
        <v>0.57678197064989523</v>
      </c>
      <c r="V278" s="223">
        <f t="shared" si="429"/>
        <v>0.3604887316561845</v>
      </c>
      <c r="W278" s="223">
        <f t="shared" si="430"/>
        <v>1.0882678691507459</v>
      </c>
      <c r="X278" s="203">
        <f t="shared" si="431"/>
        <v>350</v>
      </c>
      <c r="Y278" s="454">
        <f t="shared" si="451"/>
        <v>350</v>
      </c>
      <c r="AA278" s="223">
        <f t="shared" si="432"/>
        <v>1.1374916163648559</v>
      </c>
      <c r="AB278" s="179">
        <f t="shared" si="433"/>
        <v>2.1462105969148224</v>
      </c>
      <c r="AC278" s="179">
        <f t="shared" si="434"/>
        <v>1.2816806944956125</v>
      </c>
      <c r="AD278" s="179"/>
      <c r="AE278" s="179">
        <f t="shared" si="435"/>
        <v>0.5660377358490567</v>
      </c>
      <c r="AF278" s="563">
        <f t="shared" si="436"/>
        <v>2434.0740740740739</v>
      </c>
      <c r="AG278" s="546">
        <f t="shared" si="437"/>
        <v>8.9150943396226423E-2</v>
      </c>
      <c r="AI278" s="179">
        <f t="shared" si="438"/>
        <v>0.79114142977394497</v>
      </c>
      <c r="AJ278" s="179">
        <f t="shared" si="439"/>
        <v>0.79114142977394497</v>
      </c>
      <c r="AK278" s="179">
        <f t="shared" si="440"/>
        <v>1.5638084664992185</v>
      </c>
      <c r="AM278" s="563">
        <f t="shared" si="441"/>
        <v>620</v>
      </c>
      <c r="AN278" s="472">
        <f t="shared" si="442"/>
        <v>350</v>
      </c>
      <c r="AP278">
        <f t="shared" si="443"/>
        <v>620</v>
      </c>
      <c r="AQ278">
        <f t="shared" si="444"/>
        <v>350</v>
      </c>
      <c r="AS278" s="6">
        <f t="shared" si="450"/>
        <v>2.8571428571428572</v>
      </c>
      <c r="AT278" s="6">
        <f t="shared" si="445"/>
        <v>0.49446339360871566</v>
      </c>
      <c r="AU278" s="6">
        <f t="shared" si="414"/>
        <v>2.3626794635341417</v>
      </c>
      <c r="AV278" s="6"/>
      <c r="AW278" s="179">
        <f t="shared" si="415"/>
        <v>0.17306218776305049</v>
      </c>
      <c r="AX278" s="179"/>
      <c r="BA278" s="472">
        <f t="shared" si="416"/>
        <v>6.1313460807480746</v>
      </c>
      <c r="BB278" s="6">
        <f t="shared" si="417"/>
        <v>0.14128677347522836</v>
      </c>
      <c r="CD278" s="581">
        <f t="shared" si="446"/>
        <v>-50</v>
      </c>
      <c r="CE278">
        <f t="shared" si="447"/>
        <v>-50</v>
      </c>
    </row>
    <row r="279" spans="5:83" x14ac:dyDescent="0.2">
      <c r="E279" s="176">
        <v>63</v>
      </c>
      <c r="F279" s="223">
        <f t="shared" si="448"/>
        <v>0.63</v>
      </c>
      <c r="G279" s="223"/>
      <c r="H279" s="223">
        <f t="shared" si="418"/>
        <v>3.15</v>
      </c>
      <c r="I279" s="559">
        <f t="shared" si="419"/>
        <v>48</v>
      </c>
      <c r="J279" s="454">
        <f t="shared" si="420"/>
        <v>15.899999999999999</v>
      </c>
      <c r="K279" s="454">
        <f t="shared" si="421"/>
        <v>63.9</v>
      </c>
      <c r="L279" s="454"/>
      <c r="M279" s="223">
        <f t="shared" si="422"/>
        <v>0.24882629107981219</v>
      </c>
      <c r="N279" s="178">
        <f t="shared" si="423"/>
        <v>8.0619718309859145</v>
      </c>
      <c r="O279" s="178">
        <f t="shared" si="449"/>
        <v>3.15</v>
      </c>
      <c r="P279" s="223">
        <f t="shared" si="424"/>
        <v>1.6123943661971829</v>
      </c>
      <c r="Q279" s="223">
        <f t="shared" si="425"/>
        <v>5</v>
      </c>
      <c r="R279" s="223"/>
      <c r="S279" s="178">
        <f t="shared" si="426"/>
        <v>35.562416286143247</v>
      </c>
      <c r="T279" s="178">
        <f t="shared" si="427"/>
        <v>5</v>
      </c>
      <c r="U279" s="223">
        <f t="shared" si="428"/>
        <v>0.5860849056603773</v>
      </c>
      <c r="V279" s="223">
        <f t="shared" si="429"/>
        <v>0.36630306603773582</v>
      </c>
      <c r="W279" s="223">
        <f t="shared" si="430"/>
        <v>1.1058205767176934</v>
      </c>
      <c r="X279" s="203">
        <f t="shared" si="431"/>
        <v>350</v>
      </c>
      <c r="Y279" s="454">
        <f t="shared" si="451"/>
        <v>350</v>
      </c>
      <c r="AA279" s="223">
        <f t="shared" si="432"/>
        <v>1.1374916163648559</v>
      </c>
      <c r="AB279" s="179">
        <f t="shared" si="433"/>
        <v>2.1462105969148224</v>
      </c>
      <c r="AC279" s="179">
        <f t="shared" si="434"/>
        <v>1.2816806944956125</v>
      </c>
      <c r="AD279" s="179"/>
      <c r="AE279" s="179">
        <f t="shared" si="435"/>
        <v>0.5660377358490567</v>
      </c>
      <c r="AF279" s="563">
        <f t="shared" si="436"/>
        <v>2473.333333333333</v>
      </c>
      <c r="AG279" s="546">
        <f t="shared" si="437"/>
        <v>8.9150943396226423E-2</v>
      </c>
      <c r="AI279" s="179">
        <f t="shared" si="438"/>
        <v>0.79749608149507534</v>
      </c>
      <c r="AJ279" s="179">
        <f t="shared" si="439"/>
        <v>0.79749608149507534</v>
      </c>
      <c r="AK279" s="179">
        <f t="shared" si="440"/>
        <v>1.568515615922278</v>
      </c>
      <c r="AM279" s="563">
        <f t="shared" si="441"/>
        <v>630</v>
      </c>
      <c r="AN279" s="472">
        <f t="shared" si="442"/>
        <v>350</v>
      </c>
      <c r="AP279">
        <f t="shared" si="443"/>
        <v>630</v>
      </c>
      <c r="AQ279">
        <f t="shared" si="444"/>
        <v>350</v>
      </c>
      <c r="AS279" s="6">
        <f t="shared" si="450"/>
        <v>2.8571428571428572</v>
      </c>
      <c r="AT279" s="6">
        <f t="shared" si="445"/>
        <v>0.49843505093442214</v>
      </c>
      <c r="AU279" s="6">
        <f t="shared" si="414"/>
        <v>2.358707806208435</v>
      </c>
      <c r="AV279" s="6"/>
      <c r="AW279" s="179">
        <f t="shared" si="415"/>
        <v>0.17445226782704776</v>
      </c>
      <c r="AX279" s="179"/>
      <c r="BA279" s="472">
        <f t="shared" si="416"/>
        <v>6.2802816417737199</v>
      </c>
      <c r="BB279" s="6">
        <f t="shared" si="417"/>
        <v>0.14332425905780419</v>
      </c>
      <c r="CD279" s="581">
        <f t="shared" si="446"/>
        <v>-50</v>
      </c>
      <c r="CE279">
        <f t="shared" si="447"/>
        <v>-50</v>
      </c>
    </row>
    <row r="280" spans="5:83" x14ac:dyDescent="0.2">
      <c r="E280" s="176">
        <v>64</v>
      </c>
      <c r="F280" s="223">
        <f t="shared" si="448"/>
        <v>0.64</v>
      </c>
      <c r="G280" s="223"/>
      <c r="H280" s="223">
        <f t="shared" ref="H280:H311" si="452">F280*Vout</f>
        <v>3.2</v>
      </c>
      <c r="I280" s="559">
        <f t="shared" ref="I280:I316" si="453">VIN_max</f>
        <v>48</v>
      </c>
      <c r="J280" s="454">
        <f t="shared" ref="J280:J316" si="454">(T280+Vfwd1)*Nps</f>
        <v>15.899999999999999</v>
      </c>
      <c r="K280" s="454">
        <f t="shared" ref="K280:K316" si="455">(Vout+Vfwd1)*Nps+I280</f>
        <v>63.9</v>
      </c>
      <c r="L280" s="454"/>
      <c r="M280" s="223">
        <f t="shared" ref="M280:M316" si="456">(Vout+Vfwd1)*Nps/((Vout+Vfwd1)*Nps+I280)</f>
        <v>0.24882629107981219</v>
      </c>
      <c r="N280" s="178">
        <f t="shared" ref="N280:N311" si="457">M280*I280*Isw_max*0.5*Efficiency</f>
        <v>8.0619718309859145</v>
      </c>
      <c r="O280" s="178">
        <f t="shared" si="449"/>
        <v>3.2</v>
      </c>
      <c r="P280" s="223">
        <f t="shared" ref="P280:P311" si="458">N280/Vout</f>
        <v>1.6123943661971829</v>
      </c>
      <c r="Q280" s="223">
        <f t="shared" ref="Q280:Q316" si="459">MIN(Vout,N280/F280)</f>
        <v>5</v>
      </c>
      <c r="R280" s="223"/>
      <c r="S280" s="178">
        <f t="shared" ref="S280:S316" si="460">(SQRT(Isw_max^2*Nps^2*I280^2+4*Isw_max*F280/Efficiency*(Nps^2*Vfwd1*I280-Nps*I280^2)+4*(F280/Efficiency)^2*Nps^2*Vfwd1^2+8*(F280/Efficiency)^2*Nps*Vfwd1*I280+4*(F280/Efficiency)^2*I280^2)-2*F280/Efficiency*I280-2*F280/Efficiency*Nps*Vfwd1+Isw_max*Nps*I280)/(4*F280/Efficiency*Nps)</f>
        <v>34.761900735536429</v>
      </c>
      <c r="T280" s="178">
        <f t="shared" ref="T280:T311" si="461">MIN(Vout, S280)</f>
        <v>5</v>
      </c>
      <c r="U280" s="223">
        <f t="shared" ref="U280:U316" si="462">MIN(2*Vout*F280/(Efficiency*I280*M280), Isw_max)</f>
        <v>0.59538784067085959</v>
      </c>
      <c r="V280" s="223">
        <f t="shared" ref="V280:V311" si="463">L*U280/I280*1000000</f>
        <v>0.37211740041928726</v>
      </c>
      <c r="W280" s="223">
        <f t="shared" ref="W280:W316" si="464">L*U280/J280*1000000</f>
        <v>1.1233732842846409</v>
      </c>
      <c r="X280" s="203">
        <f t="shared" ref="X280:X316" si="465">IF(1/((350000*L)*(1/I280+1/J280))&gt;Isw_min, 350, 0.001/((Isw_min*L)*(1/I280+1/J280)))</f>
        <v>350</v>
      </c>
      <c r="Y280" s="454">
        <f t="shared" si="451"/>
        <v>350</v>
      </c>
      <c r="AA280" s="223">
        <f t="shared" ref="AA280:AA316" si="466">1/((X280*1000*L)*(1/I280+1/J280))</f>
        <v>1.1374916163648559</v>
      </c>
      <c r="AB280" s="179">
        <f t="shared" ref="AB280:AB311" si="467">L*AA280/J280*1000000</f>
        <v>2.1462105969148224</v>
      </c>
      <c r="AC280" s="179">
        <f t="shared" ref="AC280:AC311" si="468">0.5*AB280*AA280*Nps*X280/1000</f>
        <v>1.2816806944956125</v>
      </c>
      <c r="AD280" s="179"/>
      <c r="AE280" s="179">
        <f t="shared" ref="AE280:AE316" si="469">L*Isw_min/J280*1000000</f>
        <v>0.5660377358490567</v>
      </c>
      <c r="AF280" s="563">
        <f t="shared" ref="AF280:AF311" si="470">MAX(10000,F280/(0.5*AE280/1000000*Isw_min*Nps))/1000</f>
        <v>2512.5925925925922</v>
      </c>
      <c r="AG280" s="546">
        <f t="shared" ref="AG280:AG316" si="471">0.5*AE280/1000000*Isw_min*Nps*X280*1000</f>
        <v>8.9150943396226423E-2</v>
      </c>
      <c r="AI280" s="179">
        <f t="shared" ref="AI280:AI316" si="472">SQRT(F280/(0.5*L/J280*Fsw_DCM*Nps))</f>
        <v>0.80380049645122642</v>
      </c>
      <c r="AJ280" s="179">
        <f t="shared" ref="AJ280:AJ311" si="473">MAX(IF(F280&gt;AC280,U280,AI280),Isw_min)</f>
        <v>0.80380049645122642</v>
      </c>
      <c r="AK280" s="179">
        <f t="shared" ref="AK280:AK311" si="474">IF(F280&gt;AG280, (AJ280-Isw_min)/1.08*0.8+1.2, AF280*0.2/350+1)</f>
        <v>1.5731855529268344</v>
      </c>
      <c r="AM280" s="563">
        <f t="shared" ref="AM280:AM316" si="475">F280*1000</f>
        <v>640</v>
      </c>
      <c r="AN280" s="472">
        <f t="shared" ref="AN280:AN316" si="476">IF(F280&gt;AG280, Y280, AF280)</f>
        <v>350</v>
      </c>
      <c r="AP280">
        <f t="shared" ref="AP280:AP316" si="477">IF(H280&gt;N280, "",AM280)</f>
        <v>640</v>
      </c>
      <c r="AQ280">
        <f t="shared" ref="AQ280:AQ316" si="478">IF(H280&gt;N280, "",AN280)</f>
        <v>350</v>
      </c>
      <c r="AS280" s="6">
        <f t="shared" si="450"/>
        <v>2.8571428571428572</v>
      </c>
      <c r="AT280" s="6">
        <f t="shared" ref="AT280:AT316" si="479">L*AJ280/I280*1000000</f>
        <v>0.50237531028201654</v>
      </c>
      <c r="AU280" s="6">
        <f t="shared" si="414"/>
        <v>2.3547675468608409</v>
      </c>
      <c r="AV280" s="6"/>
      <c r="AW280" s="179">
        <f t="shared" si="415"/>
        <v>0.17583135859870577</v>
      </c>
      <c r="AX280" s="179"/>
      <c r="BA280" s="472">
        <f t="shared" si="416"/>
        <v>6.4304039716098114</v>
      </c>
      <c r="BB280" s="6">
        <f t="shared" si="417"/>
        <v>0.14535602141116302</v>
      </c>
      <c r="CD280" s="581">
        <f t="shared" ref="CD280:CD316" si="480">IF(ABS(F280-Ioutmax_Vinmax)&lt;Iout/200, AN280, -50)</f>
        <v>-50</v>
      </c>
      <c r="CE280">
        <f t="shared" ref="CE280:CE316" si="481">IF(ABS(F280-Ioutmax_Vinmin)&lt;Iout/200, N280*BZ280, -50)</f>
        <v>-50</v>
      </c>
    </row>
    <row r="281" spans="5:83" x14ac:dyDescent="0.2">
      <c r="E281" s="176">
        <v>65</v>
      </c>
      <c r="F281" s="223">
        <f t="shared" ref="F281:F312" si="482">IF(PLOT_TYPE=1, E281/100*Iout_max, min_I*EXP(N281*rr/100))</f>
        <v>0.65</v>
      </c>
      <c r="G281" s="223"/>
      <c r="H281" s="223">
        <f t="shared" si="452"/>
        <v>3.25</v>
      </c>
      <c r="I281" s="559">
        <f t="shared" si="453"/>
        <v>48</v>
      </c>
      <c r="J281" s="454">
        <f t="shared" si="454"/>
        <v>15.899999999999999</v>
      </c>
      <c r="K281" s="454">
        <f t="shared" si="455"/>
        <v>63.9</v>
      </c>
      <c r="L281" s="454"/>
      <c r="M281" s="223">
        <f t="shared" si="456"/>
        <v>0.24882629107981219</v>
      </c>
      <c r="N281" s="178">
        <f t="shared" si="457"/>
        <v>8.0619718309859145</v>
      </c>
      <c r="O281" s="178">
        <f t="shared" si="449"/>
        <v>3.25</v>
      </c>
      <c r="P281" s="223">
        <f t="shared" si="458"/>
        <v>1.6123943661971829</v>
      </c>
      <c r="Q281" s="223">
        <f t="shared" si="459"/>
        <v>5</v>
      </c>
      <c r="R281" s="223"/>
      <c r="S281" s="178">
        <f t="shared" si="460"/>
        <v>33.986152058604034</v>
      </c>
      <c r="T281" s="178">
        <f t="shared" si="461"/>
        <v>5</v>
      </c>
      <c r="U281" s="223">
        <f t="shared" si="462"/>
        <v>0.60469077568134177</v>
      </c>
      <c r="V281" s="223">
        <f t="shared" si="463"/>
        <v>0.37793173480083864</v>
      </c>
      <c r="W281" s="223">
        <f t="shared" si="464"/>
        <v>1.1409259918515884</v>
      </c>
      <c r="X281" s="203">
        <f t="shared" si="465"/>
        <v>350</v>
      </c>
      <c r="Y281" s="454">
        <f t="shared" si="451"/>
        <v>350</v>
      </c>
      <c r="AA281" s="223">
        <f t="shared" si="466"/>
        <v>1.1374916163648559</v>
      </c>
      <c r="AB281" s="179">
        <f t="shared" si="467"/>
        <v>2.1462105969148224</v>
      </c>
      <c r="AC281" s="179">
        <f t="shared" si="468"/>
        <v>1.2816806944956125</v>
      </c>
      <c r="AD281" s="179"/>
      <c r="AE281" s="179">
        <f t="shared" si="469"/>
        <v>0.5660377358490567</v>
      </c>
      <c r="AF281" s="563">
        <f t="shared" si="470"/>
        <v>2551.8518518518517</v>
      </c>
      <c r="AG281" s="546">
        <f t="shared" si="471"/>
        <v>8.9150943396226423E-2</v>
      </c>
      <c r="AI281" s="179">
        <f t="shared" si="472"/>
        <v>0.81005584757501514</v>
      </c>
      <c r="AJ281" s="179">
        <f t="shared" si="473"/>
        <v>0.81005584757501514</v>
      </c>
      <c r="AK281" s="179">
        <f t="shared" si="474"/>
        <v>1.5778191463518632</v>
      </c>
      <c r="AM281" s="563">
        <f t="shared" si="475"/>
        <v>650</v>
      </c>
      <c r="AN281" s="472">
        <f t="shared" si="476"/>
        <v>350</v>
      </c>
      <c r="AP281">
        <f t="shared" si="477"/>
        <v>650</v>
      </c>
      <c r="AQ281">
        <f t="shared" si="478"/>
        <v>350</v>
      </c>
      <c r="AS281" s="6">
        <f t="shared" si="450"/>
        <v>2.8571428571428572</v>
      </c>
      <c r="AT281" s="6">
        <f t="shared" si="479"/>
        <v>0.50628490473438448</v>
      </c>
      <c r="AU281" s="6">
        <f t="shared" si="414"/>
        <v>2.3508579524084725</v>
      </c>
      <c r="AV281" s="6"/>
      <c r="AW281" s="179">
        <f t="shared" si="415"/>
        <v>0.17719971665703457</v>
      </c>
      <c r="AX281" s="179"/>
      <c r="BA281" s="472">
        <f t="shared" si="416"/>
        <v>6.5817037615469989</v>
      </c>
      <c r="BB281" s="6">
        <f t="shared" si="417"/>
        <v>0.14738210542684288</v>
      </c>
      <c r="CD281" s="581">
        <f t="shared" si="480"/>
        <v>-50</v>
      </c>
      <c r="CE281">
        <f t="shared" si="481"/>
        <v>-50</v>
      </c>
    </row>
    <row r="282" spans="5:83" x14ac:dyDescent="0.2">
      <c r="E282" s="176">
        <v>66</v>
      </c>
      <c r="F282" s="223">
        <f t="shared" si="482"/>
        <v>0.66</v>
      </c>
      <c r="G282" s="223"/>
      <c r="H282" s="223">
        <f t="shared" si="452"/>
        <v>3.3000000000000003</v>
      </c>
      <c r="I282" s="559">
        <f t="shared" si="453"/>
        <v>48</v>
      </c>
      <c r="J282" s="454">
        <f t="shared" si="454"/>
        <v>15.899999999999999</v>
      </c>
      <c r="K282" s="454">
        <f t="shared" si="455"/>
        <v>63.9</v>
      </c>
      <c r="L282" s="454"/>
      <c r="M282" s="223">
        <f t="shared" si="456"/>
        <v>0.24882629107981219</v>
      </c>
      <c r="N282" s="178">
        <f t="shared" si="457"/>
        <v>8.0619718309859145</v>
      </c>
      <c r="O282" s="178">
        <f t="shared" si="449"/>
        <v>3.3000000000000003</v>
      </c>
      <c r="P282" s="223">
        <f t="shared" si="458"/>
        <v>1.6123943661971829</v>
      </c>
      <c r="Q282" s="223">
        <f t="shared" si="459"/>
        <v>5</v>
      </c>
      <c r="R282" s="223"/>
      <c r="S282" s="178">
        <f t="shared" si="460"/>
        <v>33.234047196841381</v>
      </c>
      <c r="T282" s="178">
        <f t="shared" si="461"/>
        <v>5</v>
      </c>
      <c r="U282" s="223">
        <f t="shared" si="462"/>
        <v>0.61399371069182396</v>
      </c>
      <c r="V282" s="223">
        <f t="shared" si="463"/>
        <v>0.38374606918239001</v>
      </c>
      <c r="W282" s="223">
        <f t="shared" si="464"/>
        <v>1.1584786994185361</v>
      </c>
      <c r="X282" s="203">
        <f t="shared" si="465"/>
        <v>350</v>
      </c>
      <c r="Y282" s="454">
        <f t="shared" si="451"/>
        <v>350</v>
      </c>
      <c r="AA282" s="223">
        <f t="shared" si="466"/>
        <v>1.1374916163648559</v>
      </c>
      <c r="AB282" s="179">
        <f t="shared" si="467"/>
        <v>2.1462105969148224</v>
      </c>
      <c r="AC282" s="179">
        <f t="shared" si="468"/>
        <v>1.2816806944956125</v>
      </c>
      <c r="AD282" s="179"/>
      <c r="AE282" s="179">
        <f t="shared" si="469"/>
        <v>0.5660377358490567</v>
      </c>
      <c r="AF282" s="563">
        <f t="shared" si="470"/>
        <v>2591.1111111111104</v>
      </c>
      <c r="AG282" s="546">
        <f t="shared" si="471"/>
        <v>8.9150943396226423E-2</v>
      </c>
      <c r="AI282" s="179">
        <f t="shared" si="472"/>
        <v>0.81626326285440176</v>
      </c>
      <c r="AJ282" s="179">
        <f t="shared" si="473"/>
        <v>0.81626326285440176</v>
      </c>
      <c r="AK282" s="179">
        <f t="shared" si="474"/>
        <v>1.5824172317440013</v>
      </c>
      <c r="AM282" s="563">
        <f t="shared" si="475"/>
        <v>660</v>
      </c>
      <c r="AN282" s="472">
        <f t="shared" si="476"/>
        <v>350</v>
      </c>
      <c r="AP282">
        <f t="shared" si="477"/>
        <v>660</v>
      </c>
      <c r="AQ282">
        <f t="shared" si="478"/>
        <v>350</v>
      </c>
      <c r="AS282" s="6">
        <f t="shared" si="450"/>
        <v>2.8571428571428572</v>
      </c>
      <c r="AT282" s="6">
        <f t="shared" si="479"/>
        <v>0.51016453928400118</v>
      </c>
      <c r="AU282" s="6">
        <f t="shared" si="414"/>
        <v>2.3469783178588561</v>
      </c>
      <c r="AV282" s="6"/>
      <c r="AW282" s="179">
        <f t="shared" si="415"/>
        <v>0.17855758874940042</v>
      </c>
      <c r="AX282" s="179"/>
      <c r="BA282" s="472">
        <f t="shared" si="416"/>
        <v>6.7341719185488156</v>
      </c>
      <c r="BB282" s="6">
        <f t="shared" si="417"/>
        <v>0.14940255495629293</v>
      </c>
      <c r="CD282" s="581">
        <f t="shared" si="480"/>
        <v>-50</v>
      </c>
      <c r="CE282">
        <f t="shared" si="481"/>
        <v>-50</v>
      </c>
    </row>
    <row r="283" spans="5:83" x14ac:dyDescent="0.2">
      <c r="E283" s="176">
        <v>67</v>
      </c>
      <c r="F283" s="223">
        <f t="shared" si="482"/>
        <v>0.67</v>
      </c>
      <c r="G283" s="223"/>
      <c r="H283" s="223">
        <f t="shared" si="452"/>
        <v>3.35</v>
      </c>
      <c r="I283" s="559">
        <f t="shared" si="453"/>
        <v>48</v>
      </c>
      <c r="J283" s="454">
        <f t="shared" si="454"/>
        <v>15.899999999999999</v>
      </c>
      <c r="K283" s="454">
        <f t="shared" si="455"/>
        <v>63.9</v>
      </c>
      <c r="L283" s="454"/>
      <c r="M283" s="223">
        <f t="shared" si="456"/>
        <v>0.24882629107981219</v>
      </c>
      <c r="N283" s="178">
        <f t="shared" si="457"/>
        <v>8.0619718309859145</v>
      </c>
      <c r="O283" s="178">
        <f t="shared" si="449"/>
        <v>3.35</v>
      </c>
      <c r="P283" s="223">
        <f t="shared" si="458"/>
        <v>1.6123943661971829</v>
      </c>
      <c r="Q283" s="223">
        <f t="shared" si="459"/>
        <v>5</v>
      </c>
      <c r="R283" s="223"/>
      <c r="S283" s="178">
        <f t="shared" si="460"/>
        <v>32.504530209312058</v>
      </c>
      <c r="T283" s="178">
        <f t="shared" si="461"/>
        <v>5</v>
      </c>
      <c r="U283" s="223">
        <f t="shared" si="462"/>
        <v>0.62329664570230614</v>
      </c>
      <c r="V283" s="223">
        <f t="shared" si="463"/>
        <v>0.38956040356394134</v>
      </c>
      <c r="W283" s="223">
        <f t="shared" si="464"/>
        <v>1.1760314069854836</v>
      </c>
      <c r="X283" s="203">
        <f t="shared" si="465"/>
        <v>350</v>
      </c>
      <c r="Y283" s="454">
        <f t="shared" si="451"/>
        <v>350</v>
      </c>
      <c r="AA283" s="223">
        <f t="shared" si="466"/>
        <v>1.1374916163648559</v>
      </c>
      <c r="AB283" s="179">
        <f t="shared" si="467"/>
        <v>2.1462105969148224</v>
      </c>
      <c r="AC283" s="179">
        <f t="shared" si="468"/>
        <v>1.2816806944956125</v>
      </c>
      <c r="AD283" s="179"/>
      <c r="AE283" s="179">
        <f t="shared" si="469"/>
        <v>0.5660377358490567</v>
      </c>
      <c r="AF283" s="563">
        <f t="shared" si="470"/>
        <v>2630.37037037037</v>
      </c>
      <c r="AG283" s="546">
        <f t="shared" si="471"/>
        <v>8.9150943396226423E-2</v>
      </c>
      <c r="AI283" s="179">
        <f t="shared" si="472"/>
        <v>0.82242382770743716</v>
      </c>
      <c r="AJ283" s="179">
        <f t="shared" si="473"/>
        <v>0.82242382770743716</v>
      </c>
      <c r="AK283" s="179">
        <f t="shared" si="474"/>
        <v>1.58698061311662</v>
      </c>
      <c r="AM283" s="563">
        <f t="shared" si="475"/>
        <v>670</v>
      </c>
      <c r="AN283" s="472">
        <f t="shared" si="476"/>
        <v>350</v>
      </c>
      <c r="AP283">
        <f t="shared" si="477"/>
        <v>670</v>
      </c>
      <c r="AQ283">
        <f t="shared" si="478"/>
        <v>350</v>
      </c>
      <c r="AS283" s="6">
        <f t="shared" si="450"/>
        <v>2.8571428571428572</v>
      </c>
      <c r="AT283" s="6">
        <f t="shared" si="479"/>
        <v>0.51401489231714814</v>
      </c>
      <c r="AU283" s="6">
        <f t="shared" si="414"/>
        <v>2.3431279648257091</v>
      </c>
      <c r="AV283" s="6"/>
      <c r="AW283" s="179">
        <f t="shared" si="415"/>
        <v>0.17990521231100184</v>
      </c>
      <c r="AX283" s="179"/>
      <c r="BA283" s="472">
        <f t="shared" si="416"/>
        <v>6.8877995570497852</v>
      </c>
      <c r="BB283" s="6">
        <f t="shared" si="417"/>
        <v>0.15141741285042679</v>
      </c>
      <c r="CD283" s="581">
        <f t="shared" si="480"/>
        <v>-50</v>
      </c>
      <c r="CE283">
        <f t="shared" si="481"/>
        <v>-50</v>
      </c>
    </row>
    <row r="284" spans="5:83" x14ac:dyDescent="0.2">
      <c r="E284" s="176">
        <v>68</v>
      </c>
      <c r="F284" s="223">
        <f t="shared" si="482"/>
        <v>0.68</v>
      </c>
      <c r="G284" s="223"/>
      <c r="H284" s="223">
        <f t="shared" si="452"/>
        <v>3.4000000000000004</v>
      </c>
      <c r="I284" s="559">
        <f t="shared" si="453"/>
        <v>48</v>
      </c>
      <c r="J284" s="454">
        <f t="shared" si="454"/>
        <v>15.899999999999999</v>
      </c>
      <c r="K284" s="454">
        <f t="shared" si="455"/>
        <v>63.9</v>
      </c>
      <c r="L284" s="454"/>
      <c r="M284" s="223">
        <f t="shared" si="456"/>
        <v>0.24882629107981219</v>
      </c>
      <c r="N284" s="178">
        <f t="shared" si="457"/>
        <v>8.0619718309859145</v>
      </c>
      <c r="O284" s="178">
        <f t="shared" si="449"/>
        <v>3.4000000000000004</v>
      </c>
      <c r="P284" s="223">
        <f t="shared" si="458"/>
        <v>1.6123943661971829</v>
      </c>
      <c r="Q284" s="223">
        <f t="shared" si="459"/>
        <v>5</v>
      </c>
      <c r="R284" s="223"/>
      <c r="S284" s="178">
        <f t="shared" si="460"/>
        <v>31.796607339645355</v>
      </c>
      <c r="T284" s="178">
        <f t="shared" si="461"/>
        <v>5</v>
      </c>
      <c r="U284" s="223">
        <f t="shared" si="462"/>
        <v>0.63259958071278832</v>
      </c>
      <c r="V284" s="223">
        <f t="shared" si="463"/>
        <v>0.39537473794549272</v>
      </c>
      <c r="W284" s="223">
        <f t="shared" si="464"/>
        <v>1.1935841145524309</v>
      </c>
      <c r="X284" s="203">
        <f t="shared" si="465"/>
        <v>350</v>
      </c>
      <c r="Y284" s="454">
        <f t="shared" si="451"/>
        <v>350</v>
      </c>
      <c r="AA284" s="223">
        <f t="shared" si="466"/>
        <v>1.1374916163648559</v>
      </c>
      <c r="AB284" s="179">
        <f t="shared" si="467"/>
        <v>2.1462105969148224</v>
      </c>
      <c r="AC284" s="179">
        <f t="shared" si="468"/>
        <v>1.2816806944956125</v>
      </c>
      <c r="AD284" s="179"/>
      <c r="AE284" s="179">
        <f t="shared" si="469"/>
        <v>0.5660377358490567</v>
      </c>
      <c r="AF284" s="563">
        <f t="shared" si="470"/>
        <v>2669.6296296296291</v>
      </c>
      <c r="AG284" s="546">
        <f t="shared" si="471"/>
        <v>8.9150943396226423E-2</v>
      </c>
      <c r="AI284" s="179">
        <f t="shared" si="472"/>
        <v>0.82853858719808005</v>
      </c>
      <c r="AJ284" s="179">
        <f t="shared" si="473"/>
        <v>0.82853858719808005</v>
      </c>
      <c r="AK284" s="179">
        <f t="shared" si="474"/>
        <v>1.5915100645911704</v>
      </c>
      <c r="AM284" s="563">
        <f t="shared" si="475"/>
        <v>680</v>
      </c>
      <c r="AN284" s="472">
        <f t="shared" si="476"/>
        <v>350</v>
      </c>
      <c r="AP284">
        <f t="shared" si="477"/>
        <v>680</v>
      </c>
      <c r="AQ284">
        <f t="shared" si="478"/>
        <v>350</v>
      </c>
      <c r="AS284" s="6">
        <f t="shared" si="450"/>
        <v>2.8571428571428572</v>
      </c>
      <c r="AT284" s="6">
        <f t="shared" si="479"/>
        <v>0.51783661699880001</v>
      </c>
      <c r="AU284" s="6">
        <f t="shared" si="414"/>
        <v>2.3393062401440572</v>
      </c>
      <c r="AV284" s="6"/>
      <c r="AW284" s="179">
        <f t="shared" si="415"/>
        <v>0.18124281594958</v>
      </c>
      <c r="AX284" s="179"/>
      <c r="BA284" s="472">
        <f t="shared" si="416"/>
        <v>7.0425779911836806</v>
      </c>
      <c r="BB284" s="6">
        <f t="shared" si="417"/>
        <v>0.1534267209971025</v>
      </c>
      <c r="CD284" s="581">
        <f t="shared" si="480"/>
        <v>-50</v>
      </c>
      <c r="CE284">
        <f t="shared" si="481"/>
        <v>-50</v>
      </c>
    </row>
    <row r="285" spans="5:83" x14ac:dyDescent="0.2">
      <c r="E285" s="176">
        <v>69</v>
      </c>
      <c r="F285" s="223">
        <f t="shared" si="482"/>
        <v>0.69</v>
      </c>
      <c r="G285" s="223"/>
      <c r="H285" s="223">
        <f t="shared" si="452"/>
        <v>3.4499999999999997</v>
      </c>
      <c r="I285" s="559">
        <f t="shared" si="453"/>
        <v>48</v>
      </c>
      <c r="J285" s="454">
        <f t="shared" si="454"/>
        <v>15.899999999999999</v>
      </c>
      <c r="K285" s="454">
        <f t="shared" si="455"/>
        <v>63.9</v>
      </c>
      <c r="L285" s="454"/>
      <c r="M285" s="223">
        <f t="shared" si="456"/>
        <v>0.24882629107981219</v>
      </c>
      <c r="N285" s="178">
        <f t="shared" si="457"/>
        <v>8.0619718309859145</v>
      </c>
      <c r="O285" s="178">
        <f t="shared" si="449"/>
        <v>3.4499999999999997</v>
      </c>
      <c r="P285" s="223">
        <f t="shared" si="458"/>
        <v>1.6123943661971829</v>
      </c>
      <c r="Q285" s="223">
        <f t="shared" si="459"/>
        <v>5</v>
      </c>
      <c r="R285" s="223"/>
      <c r="S285" s="178">
        <f t="shared" si="460"/>
        <v>31.109342512063094</v>
      </c>
      <c r="T285" s="178">
        <f t="shared" si="461"/>
        <v>5</v>
      </c>
      <c r="U285" s="223">
        <f t="shared" si="462"/>
        <v>0.64190251572327039</v>
      </c>
      <c r="V285" s="223">
        <f t="shared" si="463"/>
        <v>0.40118907232704404</v>
      </c>
      <c r="W285" s="223">
        <f t="shared" si="464"/>
        <v>1.2111368221193783</v>
      </c>
      <c r="X285" s="203">
        <f t="shared" si="465"/>
        <v>350</v>
      </c>
      <c r="Y285" s="454">
        <f t="shared" si="451"/>
        <v>350</v>
      </c>
      <c r="AA285" s="223">
        <f t="shared" si="466"/>
        <v>1.1374916163648559</v>
      </c>
      <c r="AB285" s="179">
        <f t="shared" si="467"/>
        <v>2.1462105969148224</v>
      </c>
      <c r="AC285" s="179">
        <f t="shared" si="468"/>
        <v>1.2816806944956125</v>
      </c>
      <c r="AD285" s="179"/>
      <c r="AE285" s="179">
        <f t="shared" si="469"/>
        <v>0.5660377358490567</v>
      </c>
      <c r="AF285" s="563">
        <f t="shared" si="470"/>
        <v>2708.8888888888882</v>
      </c>
      <c r="AG285" s="546">
        <f t="shared" si="471"/>
        <v>8.9150943396226423E-2</v>
      </c>
      <c r="AI285" s="179">
        <f t="shared" si="472"/>
        <v>0.83460854810589402</v>
      </c>
      <c r="AJ285" s="179">
        <f t="shared" si="473"/>
        <v>0.83460854810589402</v>
      </c>
      <c r="AK285" s="179">
        <f t="shared" si="474"/>
        <v>1.5960063319302917</v>
      </c>
      <c r="AM285" s="563">
        <f t="shared" si="475"/>
        <v>690</v>
      </c>
      <c r="AN285" s="472">
        <f t="shared" si="476"/>
        <v>350</v>
      </c>
      <c r="AP285">
        <f t="shared" si="477"/>
        <v>690</v>
      </c>
      <c r="AQ285">
        <f t="shared" si="478"/>
        <v>350</v>
      </c>
      <c r="AS285" s="6">
        <f t="shared" si="450"/>
        <v>2.8571428571428572</v>
      </c>
      <c r="AT285" s="6">
        <f t="shared" si="479"/>
        <v>0.52163034256618379</v>
      </c>
      <c r="AU285" s="6">
        <f t="shared" si="414"/>
        <v>2.3355125145766733</v>
      </c>
      <c r="AV285" s="6"/>
      <c r="AW285" s="179">
        <f t="shared" si="415"/>
        <v>0.18257061989816431</v>
      </c>
      <c r="AX285" s="179"/>
      <c r="BA285" s="472">
        <f t="shared" si="416"/>
        <v>7.1984987274133365</v>
      </c>
      <c r="BB285" s="6">
        <f t="shared" si="417"/>
        <v>0.15543052035666516</v>
      </c>
      <c r="CD285" s="581">
        <f t="shared" si="480"/>
        <v>-50</v>
      </c>
      <c r="CE285">
        <f t="shared" si="481"/>
        <v>-50</v>
      </c>
    </row>
    <row r="286" spans="5:83" x14ac:dyDescent="0.2">
      <c r="E286" s="176">
        <v>70</v>
      </c>
      <c r="F286" s="223">
        <f t="shared" si="482"/>
        <v>0.7</v>
      </c>
      <c r="G286" s="223"/>
      <c r="H286" s="223">
        <f t="shared" si="452"/>
        <v>3.5</v>
      </c>
      <c r="I286" s="559">
        <f t="shared" si="453"/>
        <v>48</v>
      </c>
      <c r="J286" s="454">
        <f t="shared" si="454"/>
        <v>15.899999999999999</v>
      </c>
      <c r="K286" s="454">
        <f t="shared" si="455"/>
        <v>63.9</v>
      </c>
      <c r="L286" s="454"/>
      <c r="M286" s="223">
        <f t="shared" si="456"/>
        <v>0.24882629107981219</v>
      </c>
      <c r="N286" s="178">
        <f t="shared" si="457"/>
        <v>8.0619718309859145</v>
      </c>
      <c r="O286" s="178">
        <f t="shared" si="449"/>
        <v>3.5</v>
      </c>
      <c r="P286" s="223">
        <f t="shared" si="458"/>
        <v>1.6123943661971829</v>
      </c>
      <c r="Q286" s="223">
        <f t="shared" si="459"/>
        <v>5</v>
      </c>
      <c r="R286" s="223"/>
      <c r="S286" s="178">
        <f t="shared" si="460"/>
        <v>30.441853213535548</v>
      </c>
      <c r="T286" s="178">
        <f t="shared" si="461"/>
        <v>5</v>
      </c>
      <c r="U286" s="223">
        <f t="shared" si="462"/>
        <v>0.65120545073375258</v>
      </c>
      <c r="V286" s="223">
        <f t="shared" si="463"/>
        <v>0.40700340670859536</v>
      </c>
      <c r="W286" s="223">
        <f t="shared" si="464"/>
        <v>1.2286895296863258</v>
      </c>
      <c r="X286" s="203">
        <f t="shared" si="465"/>
        <v>350</v>
      </c>
      <c r="Y286" s="454">
        <f t="shared" si="451"/>
        <v>350</v>
      </c>
      <c r="AA286" s="223">
        <f t="shared" si="466"/>
        <v>1.1374916163648559</v>
      </c>
      <c r="AB286" s="179">
        <f t="shared" si="467"/>
        <v>2.1462105969148224</v>
      </c>
      <c r="AC286" s="179">
        <f t="shared" si="468"/>
        <v>1.2816806944956125</v>
      </c>
      <c r="AD286" s="179"/>
      <c r="AE286" s="179">
        <f t="shared" si="469"/>
        <v>0.5660377358490567</v>
      </c>
      <c r="AF286" s="563">
        <f t="shared" si="470"/>
        <v>2748.1481481481474</v>
      </c>
      <c r="AG286" s="546">
        <f t="shared" si="471"/>
        <v>8.9150943396226423E-2</v>
      </c>
      <c r="AI286" s="179">
        <f t="shared" si="472"/>
        <v>0.84063468086123272</v>
      </c>
      <c r="AJ286" s="179">
        <f t="shared" si="473"/>
        <v>0.84063468086123272</v>
      </c>
      <c r="AK286" s="179">
        <f t="shared" si="474"/>
        <v>1.6004701339712835</v>
      </c>
      <c r="AM286" s="563">
        <f t="shared" si="475"/>
        <v>700</v>
      </c>
      <c r="AN286" s="472">
        <f t="shared" si="476"/>
        <v>350</v>
      </c>
      <c r="AP286">
        <f t="shared" si="477"/>
        <v>700</v>
      </c>
      <c r="AQ286">
        <f t="shared" si="478"/>
        <v>350</v>
      </c>
      <c r="AS286" s="6">
        <f t="shared" si="450"/>
        <v>2.8571428571428572</v>
      </c>
      <c r="AT286" s="6">
        <f t="shared" si="479"/>
        <v>0.52539667553827052</v>
      </c>
      <c r="AU286" s="6">
        <f t="shared" si="414"/>
        <v>2.3317461816045868</v>
      </c>
      <c r="AV286" s="6"/>
      <c r="AW286" s="179">
        <f t="shared" si="415"/>
        <v>0.18388883643839468</v>
      </c>
      <c r="AX286" s="179"/>
      <c r="BA286" s="472">
        <f t="shared" si="416"/>
        <v>7.3555534575357866</v>
      </c>
      <c r="BB286" s="6">
        <f t="shared" si="417"/>
        <v>0.15742885099568002</v>
      </c>
      <c r="CD286" s="581">
        <f t="shared" si="480"/>
        <v>-50</v>
      </c>
      <c r="CE286">
        <f t="shared" si="481"/>
        <v>-50</v>
      </c>
    </row>
    <row r="287" spans="5:83" x14ac:dyDescent="0.2">
      <c r="E287" s="176">
        <v>71</v>
      </c>
      <c r="F287" s="223">
        <f t="shared" si="482"/>
        <v>0.71</v>
      </c>
      <c r="G287" s="223"/>
      <c r="H287" s="223">
        <f t="shared" si="452"/>
        <v>3.55</v>
      </c>
      <c r="I287" s="559">
        <f t="shared" si="453"/>
        <v>48</v>
      </c>
      <c r="J287" s="454">
        <f t="shared" si="454"/>
        <v>15.899999999999999</v>
      </c>
      <c r="K287" s="454">
        <f t="shared" si="455"/>
        <v>63.9</v>
      </c>
      <c r="L287" s="454"/>
      <c r="M287" s="223">
        <f t="shared" si="456"/>
        <v>0.24882629107981219</v>
      </c>
      <c r="N287" s="178">
        <f t="shared" si="457"/>
        <v>8.0619718309859145</v>
      </c>
      <c r="O287" s="178">
        <f t="shared" si="449"/>
        <v>3.55</v>
      </c>
      <c r="P287" s="223">
        <f t="shared" si="458"/>
        <v>1.6123943661971829</v>
      </c>
      <c r="Q287" s="223">
        <f t="shared" si="459"/>
        <v>5</v>
      </c>
      <c r="R287" s="223"/>
      <c r="S287" s="178">
        <f t="shared" si="460"/>
        <v>29.793306724000189</v>
      </c>
      <c r="T287" s="178">
        <f t="shared" si="461"/>
        <v>5</v>
      </c>
      <c r="U287" s="223">
        <f t="shared" si="462"/>
        <v>0.66050838574423476</v>
      </c>
      <c r="V287" s="223">
        <f t="shared" si="463"/>
        <v>0.41281774109014674</v>
      </c>
      <c r="W287" s="223">
        <f t="shared" si="464"/>
        <v>1.2462422372532733</v>
      </c>
      <c r="X287" s="203">
        <f t="shared" si="465"/>
        <v>350</v>
      </c>
      <c r="Y287" s="454">
        <f t="shared" si="451"/>
        <v>350</v>
      </c>
      <c r="AA287" s="223">
        <f t="shared" si="466"/>
        <v>1.1374916163648559</v>
      </c>
      <c r="AB287" s="179">
        <f t="shared" si="467"/>
        <v>2.1462105969148224</v>
      </c>
      <c r="AC287" s="179">
        <f t="shared" si="468"/>
        <v>1.2816806944956125</v>
      </c>
      <c r="AD287" s="179"/>
      <c r="AE287" s="179">
        <f t="shared" si="469"/>
        <v>0.5660377358490567</v>
      </c>
      <c r="AF287" s="563">
        <f t="shared" si="470"/>
        <v>2787.4074074074069</v>
      </c>
      <c r="AG287" s="546">
        <f t="shared" si="471"/>
        <v>8.9150943396226423E-2</v>
      </c>
      <c r="AI287" s="179">
        <f t="shared" si="472"/>
        <v>0.8466179213564432</v>
      </c>
      <c r="AJ287" s="179">
        <f t="shared" si="473"/>
        <v>0.8466179213564432</v>
      </c>
      <c r="AK287" s="179">
        <f t="shared" si="474"/>
        <v>1.6049021639677357</v>
      </c>
      <c r="AM287" s="563">
        <f t="shared" si="475"/>
        <v>710</v>
      </c>
      <c r="AN287" s="472">
        <f t="shared" si="476"/>
        <v>350</v>
      </c>
      <c r="AP287">
        <f t="shared" si="477"/>
        <v>710</v>
      </c>
      <c r="AQ287">
        <f t="shared" si="478"/>
        <v>350</v>
      </c>
      <c r="AS287" s="6">
        <f t="shared" si="450"/>
        <v>2.8571428571428572</v>
      </c>
      <c r="AT287" s="6">
        <f t="shared" si="479"/>
        <v>0.52913620084777702</v>
      </c>
      <c r="AU287" s="6">
        <f t="shared" si="414"/>
        <v>2.3280066562950803</v>
      </c>
      <c r="AV287" s="6"/>
      <c r="AW287" s="179">
        <f t="shared" si="415"/>
        <v>0.18519767029672196</v>
      </c>
      <c r="AX287" s="179"/>
      <c r="BA287" s="472">
        <f t="shared" si="416"/>
        <v>7.5137340520384335</v>
      </c>
      <c r="BB287" s="6">
        <f t="shared" si="417"/>
        <v>0.15942175211897247</v>
      </c>
      <c r="CD287" s="581">
        <f t="shared" si="480"/>
        <v>-50</v>
      </c>
      <c r="CE287">
        <f t="shared" si="481"/>
        <v>-50</v>
      </c>
    </row>
    <row r="288" spans="5:83" x14ac:dyDescent="0.2">
      <c r="E288" s="176">
        <v>72</v>
      </c>
      <c r="F288" s="223">
        <f t="shared" si="482"/>
        <v>0.72</v>
      </c>
      <c r="G288" s="223"/>
      <c r="H288" s="223">
        <f t="shared" si="452"/>
        <v>3.5999999999999996</v>
      </c>
      <c r="I288" s="559">
        <f t="shared" si="453"/>
        <v>48</v>
      </c>
      <c r="J288" s="454">
        <f t="shared" si="454"/>
        <v>15.899999999999999</v>
      </c>
      <c r="K288" s="454">
        <f t="shared" si="455"/>
        <v>63.9</v>
      </c>
      <c r="L288" s="454"/>
      <c r="M288" s="223">
        <f t="shared" si="456"/>
        <v>0.24882629107981219</v>
      </c>
      <c r="N288" s="178">
        <f t="shared" si="457"/>
        <v>8.0619718309859145</v>
      </c>
      <c r="O288" s="178">
        <f t="shared" si="449"/>
        <v>3.5999999999999996</v>
      </c>
      <c r="P288" s="223">
        <f t="shared" si="458"/>
        <v>1.6123943661971829</v>
      </c>
      <c r="Q288" s="223">
        <f t="shared" si="459"/>
        <v>5</v>
      </c>
      <c r="R288" s="223"/>
      <c r="S288" s="178">
        <f t="shared" si="460"/>
        <v>29.162916660806545</v>
      </c>
      <c r="T288" s="178">
        <f t="shared" si="461"/>
        <v>5</v>
      </c>
      <c r="U288" s="223">
        <f t="shared" si="462"/>
        <v>0.66981132075471694</v>
      </c>
      <c r="V288" s="223">
        <f t="shared" si="463"/>
        <v>0.41863207547169806</v>
      </c>
      <c r="W288" s="223">
        <f t="shared" si="464"/>
        <v>1.2637949448202208</v>
      </c>
      <c r="X288" s="203">
        <f t="shared" si="465"/>
        <v>350</v>
      </c>
      <c r="Y288" s="454">
        <f t="shared" si="451"/>
        <v>350</v>
      </c>
      <c r="AA288" s="223">
        <f t="shared" si="466"/>
        <v>1.1374916163648559</v>
      </c>
      <c r="AB288" s="179">
        <f t="shared" si="467"/>
        <v>2.1462105969148224</v>
      </c>
      <c r="AC288" s="179">
        <f t="shared" si="468"/>
        <v>1.2816806944956125</v>
      </c>
      <c r="AD288" s="179"/>
      <c r="AE288" s="179">
        <f t="shared" si="469"/>
        <v>0.5660377358490567</v>
      </c>
      <c r="AF288" s="563">
        <f t="shared" si="470"/>
        <v>2826.6666666666661</v>
      </c>
      <c r="AG288" s="546">
        <f t="shared" si="471"/>
        <v>8.9150943396226423E-2</v>
      </c>
      <c r="AI288" s="179">
        <f t="shared" si="472"/>
        <v>0.85255917264266345</v>
      </c>
      <c r="AJ288" s="179">
        <f t="shared" si="473"/>
        <v>0.85255917264266345</v>
      </c>
      <c r="AK288" s="179">
        <f t="shared" si="474"/>
        <v>1.6093030908464174</v>
      </c>
      <c r="AM288" s="563">
        <f t="shared" si="475"/>
        <v>720</v>
      </c>
      <c r="AN288" s="472">
        <f t="shared" si="476"/>
        <v>350</v>
      </c>
      <c r="AP288">
        <f t="shared" si="477"/>
        <v>720</v>
      </c>
      <c r="AQ288">
        <f t="shared" si="478"/>
        <v>350</v>
      </c>
      <c r="AS288" s="6">
        <f t="shared" si="450"/>
        <v>2.8571428571428572</v>
      </c>
      <c r="AT288" s="6">
        <f t="shared" si="479"/>
        <v>0.53284948290166467</v>
      </c>
      <c r="AU288" s="6">
        <f t="shared" si="414"/>
        <v>2.3242933742411926</v>
      </c>
      <c r="AV288" s="6"/>
      <c r="AW288" s="179">
        <f t="shared" si="415"/>
        <v>0.18649731901558264</v>
      </c>
      <c r="AX288" s="179"/>
      <c r="BA288" s="472">
        <f t="shared" si="416"/>
        <v>7.6730325537839708</v>
      </c>
      <c r="BB288" s="6">
        <f t="shared" si="417"/>
        <v>0.1614092621000828</v>
      </c>
      <c r="CD288" s="581">
        <f t="shared" si="480"/>
        <v>-50</v>
      </c>
      <c r="CE288">
        <f t="shared" si="481"/>
        <v>-50</v>
      </c>
    </row>
    <row r="289" spans="5:83" x14ac:dyDescent="0.2">
      <c r="E289" s="176">
        <v>73</v>
      </c>
      <c r="F289" s="223">
        <f t="shared" si="482"/>
        <v>0.73</v>
      </c>
      <c r="G289" s="223"/>
      <c r="H289" s="223">
        <f t="shared" si="452"/>
        <v>3.65</v>
      </c>
      <c r="I289" s="559">
        <f t="shared" si="453"/>
        <v>48</v>
      </c>
      <c r="J289" s="454">
        <f t="shared" si="454"/>
        <v>15.899999999999999</v>
      </c>
      <c r="K289" s="454">
        <f t="shared" si="455"/>
        <v>63.9</v>
      </c>
      <c r="L289" s="454"/>
      <c r="M289" s="223">
        <f t="shared" si="456"/>
        <v>0.24882629107981219</v>
      </c>
      <c r="N289" s="178">
        <f t="shared" si="457"/>
        <v>8.0619718309859145</v>
      </c>
      <c r="O289" s="178">
        <f t="shared" si="449"/>
        <v>3.65</v>
      </c>
      <c r="P289" s="223">
        <f t="shared" si="458"/>
        <v>1.6123943661971829</v>
      </c>
      <c r="Q289" s="223">
        <f t="shared" si="459"/>
        <v>5</v>
      </c>
      <c r="R289" s="223"/>
      <c r="S289" s="178">
        <f t="shared" si="460"/>
        <v>28.549939807258763</v>
      </c>
      <c r="T289" s="178">
        <f t="shared" si="461"/>
        <v>5</v>
      </c>
      <c r="U289" s="223">
        <f t="shared" si="462"/>
        <v>0.67911425576519913</v>
      </c>
      <c r="V289" s="223">
        <f t="shared" si="463"/>
        <v>0.4244464098532495</v>
      </c>
      <c r="W289" s="223">
        <f t="shared" si="464"/>
        <v>1.2813476523871683</v>
      </c>
      <c r="X289" s="203">
        <f t="shared" si="465"/>
        <v>350</v>
      </c>
      <c r="Y289" s="454">
        <f t="shared" si="451"/>
        <v>350</v>
      </c>
      <c r="AA289" s="223">
        <f t="shared" si="466"/>
        <v>1.1374916163648559</v>
      </c>
      <c r="AB289" s="179">
        <f t="shared" si="467"/>
        <v>2.1462105969148224</v>
      </c>
      <c r="AC289" s="179">
        <f t="shared" si="468"/>
        <v>1.2816806944956125</v>
      </c>
      <c r="AD289" s="179"/>
      <c r="AE289" s="179">
        <f t="shared" si="469"/>
        <v>0.5660377358490567</v>
      </c>
      <c r="AF289" s="563">
        <f t="shared" si="470"/>
        <v>2865.9259259259252</v>
      </c>
      <c r="AG289" s="546">
        <f t="shared" si="471"/>
        <v>8.9150943396226423E-2</v>
      </c>
      <c r="AI289" s="179">
        <f t="shared" si="472"/>
        <v>0.85845930652092117</v>
      </c>
      <c r="AJ289" s="179">
        <f t="shared" si="473"/>
        <v>0.85845930652092117</v>
      </c>
      <c r="AK289" s="179">
        <f t="shared" si="474"/>
        <v>1.6136735603858674</v>
      </c>
      <c r="AM289" s="563">
        <f t="shared" si="475"/>
        <v>730</v>
      </c>
      <c r="AN289" s="472">
        <f t="shared" si="476"/>
        <v>350</v>
      </c>
      <c r="AP289">
        <f t="shared" si="477"/>
        <v>730</v>
      </c>
      <c r="AQ289">
        <f t="shared" si="478"/>
        <v>350</v>
      </c>
      <c r="AS289" s="6">
        <f t="shared" si="450"/>
        <v>2.8571428571428572</v>
      </c>
      <c r="AT289" s="6">
        <f t="shared" si="479"/>
        <v>0.53653706657557576</v>
      </c>
      <c r="AU289" s="6">
        <f t="shared" si="414"/>
        <v>2.3206057905672814</v>
      </c>
      <c r="AV289" s="6"/>
      <c r="AW289" s="179">
        <f t="shared" si="415"/>
        <v>0.1877879733014515</v>
      </c>
      <c r="AX289" s="179"/>
      <c r="BA289" s="472">
        <f t="shared" si="416"/>
        <v>7.8334411720034067</v>
      </c>
      <c r="BB289" s="6">
        <f t="shared" si="417"/>
        <v>0.16339141851023486</v>
      </c>
      <c r="CD289" s="581">
        <f t="shared" si="480"/>
        <v>-50</v>
      </c>
      <c r="CE289">
        <f t="shared" si="481"/>
        <v>-50</v>
      </c>
    </row>
    <row r="290" spans="5:83" x14ac:dyDescent="0.2">
      <c r="E290" s="176">
        <v>74</v>
      </c>
      <c r="F290" s="223">
        <f t="shared" si="482"/>
        <v>0.74</v>
      </c>
      <c r="G290" s="223"/>
      <c r="H290" s="223">
        <f t="shared" si="452"/>
        <v>3.7</v>
      </c>
      <c r="I290" s="559">
        <f t="shared" si="453"/>
        <v>48</v>
      </c>
      <c r="J290" s="454">
        <f t="shared" si="454"/>
        <v>15.899999999999999</v>
      </c>
      <c r="K290" s="454">
        <f t="shared" si="455"/>
        <v>63.9</v>
      </c>
      <c r="L290" s="454"/>
      <c r="M290" s="223">
        <f t="shared" si="456"/>
        <v>0.24882629107981219</v>
      </c>
      <c r="N290" s="178">
        <f t="shared" si="457"/>
        <v>8.0619718309859145</v>
      </c>
      <c r="O290" s="178">
        <f t="shared" si="449"/>
        <v>3.7</v>
      </c>
      <c r="P290" s="223">
        <f t="shared" si="458"/>
        <v>1.6123943661971829</v>
      </c>
      <c r="Q290" s="223">
        <f t="shared" si="459"/>
        <v>5</v>
      </c>
      <c r="R290" s="223"/>
      <c r="S290" s="178">
        <f t="shared" si="460"/>
        <v>27.953673198384728</v>
      </c>
      <c r="T290" s="178">
        <f t="shared" si="461"/>
        <v>5</v>
      </c>
      <c r="U290" s="223">
        <f t="shared" si="462"/>
        <v>0.68841719077568142</v>
      </c>
      <c r="V290" s="223">
        <f t="shared" si="463"/>
        <v>0.43026074423480093</v>
      </c>
      <c r="W290" s="223">
        <f t="shared" si="464"/>
        <v>1.298900359954116</v>
      </c>
      <c r="X290" s="203">
        <f t="shared" si="465"/>
        <v>350</v>
      </c>
      <c r="Y290" s="454">
        <f t="shared" si="451"/>
        <v>350</v>
      </c>
      <c r="AA290" s="223">
        <f t="shared" si="466"/>
        <v>1.1374916163648559</v>
      </c>
      <c r="AB290" s="179">
        <f t="shared" si="467"/>
        <v>2.1462105969148224</v>
      </c>
      <c r="AC290" s="179">
        <f t="shared" si="468"/>
        <v>1.2816806944956125</v>
      </c>
      <c r="AD290" s="179"/>
      <c r="AE290" s="179">
        <f t="shared" si="469"/>
        <v>0.5660377358490567</v>
      </c>
      <c r="AF290" s="563">
        <f t="shared" si="470"/>
        <v>2905.1851851851848</v>
      </c>
      <c r="AG290" s="546">
        <f t="shared" si="471"/>
        <v>8.9150943396226423E-2</v>
      </c>
      <c r="AI290" s="179">
        <f t="shared" si="472"/>
        <v>0.86431916503547401</v>
      </c>
      <c r="AJ290" s="179">
        <f t="shared" si="473"/>
        <v>0.86431916503547401</v>
      </c>
      <c r="AK290" s="179">
        <f t="shared" si="474"/>
        <v>1.6180141963225734</v>
      </c>
      <c r="AM290" s="563">
        <f t="shared" si="475"/>
        <v>740</v>
      </c>
      <c r="AN290" s="472">
        <f t="shared" si="476"/>
        <v>350</v>
      </c>
      <c r="AP290">
        <f t="shared" si="477"/>
        <v>740</v>
      </c>
      <c r="AQ290">
        <f t="shared" si="478"/>
        <v>350</v>
      </c>
      <c r="AS290" s="6">
        <f t="shared" si="450"/>
        <v>2.8571428571428572</v>
      </c>
      <c r="AT290" s="6">
        <f t="shared" si="479"/>
        <v>0.54019947814717129</v>
      </c>
      <c r="AU290" s="6">
        <f t="shared" si="414"/>
        <v>2.3169433789956857</v>
      </c>
      <c r="AV290" s="6"/>
      <c r="AW290" s="179">
        <f t="shared" si="415"/>
        <v>0.18906981735150993</v>
      </c>
      <c r="AX290" s="179"/>
      <c r="BA290" s="472">
        <f t="shared" si="416"/>
        <v>7.9949522765781351</v>
      </c>
      <c r="BB290" s="6">
        <f t="shared" si="417"/>
        <v>0.16536825814591119</v>
      </c>
      <c r="CD290" s="581">
        <f t="shared" si="480"/>
        <v>-50</v>
      </c>
      <c r="CE290">
        <f t="shared" si="481"/>
        <v>-50</v>
      </c>
    </row>
    <row r="291" spans="5:83" x14ac:dyDescent="0.2">
      <c r="E291" s="176">
        <v>75</v>
      </c>
      <c r="F291" s="223">
        <f t="shared" si="482"/>
        <v>0.75</v>
      </c>
      <c r="G291" s="223"/>
      <c r="H291" s="223">
        <f t="shared" si="452"/>
        <v>3.75</v>
      </c>
      <c r="I291" s="559">
        <f t="shared" si="453"/>
        <v>48</v>
      </c>
      <c r="J291" s="454">
        <f t="shared" si="454"/>
        <v>15.899999999999999</v>
      </c>
      <c r="K291" s="454">
        <f t="shared" si="455"/>
        <v>63.9</v>
      </c>
      <c r="L291" s="454"/>
      <c r="M291" s="223">
        <f t="shared" si="456"/>
        <v>0.24882629107981219</v>
      </c>
      <c r="N291" s="178">
        <f t="shared" si="457"/>
        <v>8.0619718309859145</v>
      </c>
      <c r="O291" s="178">
        <f t="shared" si="449"/>
        <v>3.75</v>
      </c>
      <c r="P291" s="223">
        <f t="shared" si="458"/>
        <v>1.6123943661971829</v>
      </c>
      <c r="Q291" s="223">
        <f t="shared" si="459"/>
        <v>5</v>
      </c>
      <c r="R291" s="223"/>
      <c r="S291" s="178">
        <f t="shared" si="460"/>
        <v>27.373451439926811</v>
      </c>
      <c r="T291" s="178">
        <f t="shared" si="461"/>
        <v>5</v>
      </c>
      <c r="U291" s="223">
        <f t="shared" si="462"/>
        <v>0.69772012578616349</v>
      </c>
      <c r="V291" s="223">
        <f t="shared" si="463"/>
        <v>0.43607507861635214</v>
      </c>
      <c r="W291" s="223">
        <f t="shared" si="464"/>
        <v>1.3164530675210633</v>
      </c>
      <c r="X291" s="203">
        <f t="shared" si="465"/>
        <v>350</v>
      </c>
      <c r="Y291" s="454">
        <f t="shared" si="451"/>
        <v>350</v>
      </c>
      <c r="AA291" s="223">
        <f t="shared" si="466"/>
        <v>1.1374916163648559</v>
      </c>
      <c r="AB291" s="179">
        <f t="shared" si="467"/>
        <v>2.1462105969148224</v>
      </c>
      <c r="AC291" s="179">
        <f t="shared" si="468"/>
        <v>1.2816806944956125</v>
      </c>
      <c r="AD291" s="179"/>
      <c r="AE291" s="179">
        <f t="shared" si="469"/>
        <v>0.5660377358490567</v>
      </c>
      <c r="AF291" s="563">
        <f t="shared" si="470"/>
        <v>2944.4444444444439</v>
      </c>
      <c r="AG291" s="546">
        <f t="shared" si="471"/>
        <v>8.9150943396226423E-2</v>
      </c>
      <c r="AI291" s="179">
        <f t="shared" si="472"/>
        <v>0.870139561876632</v>
      </c>
      <c r="AJ291" s="179">
        <f t="shared" si="473"/>
        <v>0.870139561876632</v>
      </c>
      <c r="AK291" s="179">
        <f t="shared" si="474"/>
        <v>1.6223256013900977</v>
      </c>
      <c r="AM291" s="563">
        <f t="shared" si="475"/>
        <v>750</v>
      </c>
      <c r="AN291" s="472">
        <f t="shared" si="476"/>
        <v>350</v>
      </c>
      <c r="AP291">
        <f t="shared" si="477"/>
        <v>750</v>
      </c>
      <c r="AQ291">
        <f t="shared" si="478"/>
        <v>350</v>
      </c>
      <c r="AS291" s="6">
        <f t="shared" si="450"/>
        <v>2.8571428571428572</v>
      </c>
      <c r="AT291" s="6">
        <f t="shared" si="479"/>
        <v>0.54383722617289498</v>
      </c>
      <c r="AU291" s="6">
        <f t="shared" si="414"/>
        <v>2.3133056309699622</v>
      </c>
      <c r="AV291" s="6"/>
      <c r="AW291" s="179">
        <f t="shared" si="415"/>
        <v>0.19034302916051324</v>
      </c>
      <c r="AX291" s="179"/>
      <c r="BA291" s="472">
        <f t="shared" si="416"/>
        <v>8.1575583925934261</v>
      </c>
      <c r="BB291" s="6">
        <f t="shared" si="417"/>
        <v>0.1673398170551188</v>
      </c>
      <c r="CD291" s="581">
        <f t="shared" si="480"/>
        <v>-50</v>
      </c>
      <c r="CE291">
        <f t="shared" si="481"/>
        <v>-50</v>
      </c>
    </row>
    <row r="292" spans="5:83" x14ac:dyDescent="0.2">
      <c r="E292" s="176">
        <v>76</v>
      </c>
      <c r="F292" s="223">
        <f t="shared" si="482"/>
        <v>0.76</v>
      </c>
      <c r="G292" s="223"/>
      <c r="H292" s="223">
        <f t="shared" si="452"/>
        <v>3.8</v>
      </c>
      <c r="I292" s="559">
        <f t="shared" si="453"/>
        <v>48</v>
      </c>
      <c r="J292" s="454">
        <f t="shared" si="454"/>
        <v>15.899999999999999</v>
      </c>
      <c r="K292" s="454">
        <f t="shared" si="455"/>
        <v>63.9</v>
      </c>
      <c r="L292" s="454"/>
      <c r="M292" s="223">
        <f t="shared" si="456"/>
        <v>0.24882629107981219</v>
      </c>
      <c r="N292" s="178">
        <f t="shared" si="457"/>
        <v>8.0619718309859145</v>
      </c>
      <c r="O292" s="178">
        <f t="shared" si="449"/>
        <v>3.8</v>
      </c>
      <c r="P292" s="223">
        <f t="shared" si="458"/>
        <v>1.6123943661971829</v>
      </c>
      <c r="Q292" s="223">
        <f t="shared" si="459"/>
        <v>5</v>
      </c>
      <c r="R292" s="223"/>
      <c r="S292" s="178">
        <f t="shared" si="460"/>
        <v>26.808644239076404</v>
      </c>
      <c r="T292" s="178">
        <f t="shared" si="461"/>
        <v>5</v>
      </c>
      <c r="U292" s="223">
        <f t="shared" si="462"/>
        <v>0.70702306079664567</v>
      </c>
      <c r="V292" s="223">
        <f t="shared" si="463"/>
        <v>0.44188941299790357</v>
      </c>
      <c r="W292" s="223">
        <f t="shared" si="464"/>
        <v>1.334005775088011</v>
      </c>
      <c r="X292" s="203">
        <f t="shared" si="465"/>
        <v>350</v>
      </c>
      <c r="Y292" s="454">
        <f t="shared" si="451"/>
        <v>350</v>
      </c>
      <c r="AA292" s="223">
        <f t="shared" si="466"/>
        <v>1.1374916163648559</v>
      </c>
      <c r="AB292" s="179">
        <f t="shared" si="467"/>
        <v>2.1462105969148224</v>
      </c>
      <c r="AC292" s="179">
        <f t="shared" si="468"/>
        <v>1.2816806944956125</v>
      </c>
      <c r="AD292" s="179"/>
      <c r="AE292" s="179">
        <f t="shared" si="469"/>
        <v>0.5660377358490567</v>
      </c>
      <c r="AF292" s="563">
        <f t="shared" si="470"/>
        <v>2983.7037037037035</v>
      </c>
      <c r="AG292" s="546">
        <f t="shared" si="471"/>
        <v>8.9150943396226423E-2</v>
      </c>
      <c r="AI292" s="179">
        <f t="shared" si="472"/>
        <v>0.87592128369967992</v>
      </c>
      <c r="AJ292" s="179">
        <f t="shared" si="473"/>
        <v>0.87592128369967992</v>
      </c>
      <c r="AK292" s="179">
        <f t="shared" si="474"/>
        <v>1.6266083582960591</v>
      </c>
      <c r="AM292" s="563">
        <f t="shared" si="475"/>
        <v>760</v>
      </c>
      <c r="AN292" s="472">
        <f t="shared" si="476"/>
        <v>350</v>
      </c>
      <c r="AP292">
        <f t="shared" si="477"/>
        <v>760</v>
      </c>
      <c r="AQ292">
        <f t="shared" si="478"/>
        <v>350</v>
      </c>
      <c r="AS292" s="6">
        <f t="shared" si="450"/>
        <v>2.8571428571428572</v>
      </c>
      <c r="AT292" s="6">
        <f t="shared" si="479"/>
        <v>0.54745080231230003</v>
      </c>
      <c r="AU292" s="6">
        <f t="shared" si="414"/>
        <v>2.3096920548305571</v>
      </c>
      <c r="AV292" s="6"/>
      <c r="AW292" s="179">
        <f t="shared" si="415"/>
        <v>0.19160778080930502</v>
      </c>
      <c r="AX292" s="179"/>
      <c r="BA292" s="472">
        <f t="shared" si="416"/>
        <v>8.3212521951469611</v>
      </c>
      <c r="BB292" s="6">
        <f t="shared" si="417"/>
        <v>0.16930613056242508</v>
      </c>
      <c r="CD292" s="581">
        <f t="shared" si="480"/>
        <v>-50</v>
      </c>
      <c r="CE292">
        <f t="shared" si="481"/>
        <v>0</v>
      </c>
    </row>
    <row r="293" spans="5:83" x14ac:dyDescent="0.2">
      <c r="E293" s="176">
        <v>77</v>
      </c>
      <c r="F293" s="223">
        <f t="shared" si="482"/>
        <v>0.77</v>
      </c>
      <c r="G293" s="223"/>
      <c r="H293" s="223">
        <f t="shared" si="452"/>
        <v>3.85</v>
      </c>
      <c r="I293" s="559">
        <f t="shared" si="453"/>
        <v>48</v>
      </c>
      <c r="J293" s="454">
        <f t="shared" si="454"/>
        <v>15.899999999999999</v>
      </c>
      <c r="K293" s="454">
        <f t="shared" si="455"/>
        <v>63.9</v>
      </c>
      <c r="L293" s="454"/>
      <c r="M293" s="223">
        <f t="shared" si="456"/>
        <v>0.24882629107981219</v>
      </c>
      <c r="N293" s="178">
        <f t="shared" si="457"/>
        <v>8.0619718309859145</v>
      </c>
      <c r="O293" s="178">
        <f t="shared" si="449"/>
        <v>3.85</v>
      </c>
      <c r="P293" s="223">
        <f t="shared" si="458"/>
        <v>1.6123943661971829</v>
      </c>
      <c r="Q293" s="223">
        <f t="shared" si="459"/>
        <v>5</v>
      </c>
      <c r="R293" s="223"/>
      <c r="S293" s="178">
        <f t="shared" si="460"/>
        <v>26.258654127705906</v>
      </c>
      <c r="T293" s="178">
        <f t="shared" si="461"/>
        <v>5</v>
      </c>
      <c r="U293" s="223">
        <f t="shared" si="462"/>
        <v>0.71632599580712786</v>
      </c>
      <c r="V293" s="223">
        <f t="shared" si="463"/>
        <v>0.44770374737945495</v>
      </c>
      <c r="W293" s="223">
        <f t="shared" si="464"/>
        <v>1.3515584826549583</v>
      </c>
      <c r="X293" s="203">
        <f t="shared" si="465"/>
        <v>350</v>
      </c>
      <c r="Y293" s="454">
        <f t="shared" si="451"/>
        <v>350</v>
      </c>
      <c r="AA293" s="223">
        <f t="shared" si="466"/>
        <v>1.1374916163648559</v>
      </c>
      <c r="AB293" s="179">
        <f t="shared" si="467"/>
        <v>2.1462105969148224</v>
      </c>
      <c r="AC293" s="179">
        <f t="shared" si="468"/>
        <v>1.2816806944956125</v>
      </c>
      <c r="AD293" s="179"/>
      <c r="AE293" s="179">
        <f t="shared" si="469"/>
        <v>0.5660377358490567</v>
      </c>
      <c r="AF293" s="563">
        <f t="shared" si="470"/>
        <v>3022.9629629629626</v>
      </c>
      <c r="AG293" s="546">
        <f t="shared" si="471"/>
        <v>8.9150943396226423E-2</v>
      </c>
      <c r="AI293" s="179">
        <f t="shared" si="472"/>
        <v>0.88166509136595239</v>
      </c>
      <c r="AJ293" s="179">
        <f t="shared" si="473"/>
        <v>0.88166509136595239</v>
      </c>
      <c r="AK293" s="179">
        <f t="shared" si="474"/>
        <v>1.6308630306414462</v>
      </c>
      <c r="AM293" s="563">
        <f t="shared" si="475"/>
        <v>770</v>
      </c>
      <c r="AN293" s="472">
        <f t="shared" si="476"/>
        <v>350</v>
      </c>
      <c r="AP293">
        <f t="shared" si="477"/>
        <v>770</v>
      </c>
      <c r="AQ293">
        <f t="shared" si="478"/>
        <v>350</v>
      </c>
      <c r="AS293" s="6">
        <f t="shared" si="450"/>
        <v>2.8571428571428572</v>
      </c>
      <c r="AT293" s="6">
        <f t="shared" si="479"/>
        <v>0.55104068210372026</v>
      </c>
      <c r="AU293" s="6">
        <f t="shared" si="414"/>
        <v>2.3061021750391371</v>
      </c>
      <c r="AV293" s="6"/>
      <c r="AW293" s="179">
        <f t="shared" si="415"/>
        <v>0.1928642387363021</v>
      </c>
      <c r="AX293" s="179"/>
      <c r="BA293" s="472">
        <f t="shared" si="416"/>
        <v>8.4860265043972927</v>
      </c>
      <c r="BB293" s="6">
        <f t="shared" si="417"/>
        <v>0.17126723329283711</v>
      </c>
      <c r="CD293" s="581">
        <f t="shared" si="480"/>
        <v>-50</v>
      </c>
      <c r="CE293">
        <f t="shared" si="481"/>
        <v>-50</v>
      </c>
    </row>
    <row r="294" spans="5:83" x14ac:dyDescent="0.2">
      <c r="E294" s="176">
        <v>78</v>
      </c>
      <c r="F294" s="223">
        <f t="shared" si="482"/>
        <v>0.78</v>
      </c>
      <c r="G294" s="223"/>
      <c r="H294" s="223">
        <f t="shared" si="452"/>
        <v>3.9000000000000004</v>
      </c>
      <c r="I294" s="559">
        <f t="shared" si="453"/>
        <v>48</v>
      </c>
      <c r="J294" s="454">
        <f t="shared" si="454"/>
        <v>15.899999999999999</v>
      </c>
      <c r="K294" s="454">
        <f t="shared" si="455"/>
        <v>63.9</v>
      </c>
      <c r="L294" s="454"/>
      <c r="M294" s="223">
        <f t="shared" si="456"/>
        <v>0.24882629107981219</v>
      </c>
      <c r="N294" s="178">
        <f t="shared" si="457"/>
        <v>8.0619718309859145</v>
      </c>
      <c r="O294" s="178">
        <f t="shared" si="449"/>
        <v>3.9000000000000004</v>
      </c>
      <c r="P294" s="223">
        <f t="shared" si="458"/>
        <v>1.6123943661971829</v>
      </c>
      <c r="Q294" s="223">
        <f t="shared" si="459"/>
        <v>5</v>
      </c>
      <c r="R294" s="223"/>
      <c r="S294" s="178">
        <f t="shared" si="460"/>
        <v>25.722914360825882</v>
      </c>
      <c r="T294" s="178">
        <f t="shared" si="461"/>
        <v>5</v>
      </c>
      <c r="U294" s="223">
        <f t="shared" si="462"/>
        <v>0.72562893081761015</v>
      </c>
      <c r="V294" s="223">
        <f t="shared" si="463"/>
        <v>0.45351808176100633</v>
      </c>
      <c r="W294" s="223">
        <f t="shared" si="464"/>
        <v>1.369111190221906</v>
      </c>
      <c r="X294" s="203">
        <f t="shared" si="465"/>
        <v>350</v>
      </c>
      <c r="Y294" s="454">
        <f t="shared" si="451"/>
        <v>350</v>
      </c>
      <c r="AA294" s="223">
        <f t="shared" si="466"/>
        <v>1.1374916163648559</v>
      </c>
      <c r="AB294" s="179">
        <f t="shared" si="467"/>
        <v>2.1462105969148224</v>
      </c>
      <c r="AC294" s="179">
        <f t="shared" si="468"/>
        <v>1.2816806944956125</v>
      </c>
      <c r="AD294" s="179"/>
      <c r="AE294" s="179">
        <f t="shared" si="469"/>
        <v>0.5660377358490567</v>
      </c>
      <c r="AF294" s="563">
        <f t="shared" si="470"/>
        <v>3062.2222222222217</v>
      </c>
      <c r="AG294" s="546">
        <f t="shared" si="471"/>
        <v>8.9150943396226423E-2</v>
      </c>
      <c r="AI294" s="179">
        <f t="shared" si="472"/>
        <v>0.88737172111160456</v>
      </c>
      <c r="AJ294" s="179">
        <f t="shared" si="473"/>
        <v>0.88737172111160456</v>
      </c>
      <c r="AK294" s="179">
        <f t="shared" si="474"/>
        <v>1.6350901637863737</v>
      </c>
      <c r="AM294" s="563">
        <f t="shared" si="475"/>
        <v>780</v>
      </c>
      <c r="AN294" s="472">
        <f t="shared" si="476"/>
        <v>350</v>
      </c>
      <c r="AP294">
        <f t="shared" si="477"/>
        <v>780</v>
      </c>
      <c r="AQ294">
        <f t="shared" si="478"/>
        <v>350</v>
      </c>
      <c r="AS294" s="6">
        <f t="shared" si="450"/>
        <v>2.8571428571428572</v>
      </c>
      <c r="AT294" s="6">
        <f t="shared" si="479"/>
        <v>0.55460732569475291</v>
      </c>
      <c r="AU294" s="6">
        <f t="shared" si="414"/>
        <v>2.3025355314481044</v>
      </c>
      <c r="AV294" s="6"/>
      <c r="AW294" s="179">
        <f t="shared" si="415"/>
        <v>0.19411256399316351</v>
      </c>
      <c r="AX294" s="179"/>
      <c r="BA294" s="472">
        <f t="shared" si="416"/>
        <v>8.651874280838145</v>
      </c>
      <c r="BB294" s="6">
        <f t="shared" si="417"/>
        <v>0.17322315919459116</v>
      </c>
      <c r="CD294" s="581">
        <f t="shared" si="480"/>
        <v>-50</v>
      </c>
      <c r="CE294">
        <f t="shared" si="481"/>
        <v>-50</v>
      </c>
    </row>
    <row r="295" spans="5:83" x14ac:dyDescent="0.2">
      <c r="E295" s="176">
        <v>79</v>
      </c>
      <c r="F295" s="223">
        <f t="shared" si="482"/>
        <v>0.79</v>
      </c>
      <c r="G295" s="223"/>
      <c r="H295" s="223">
        <f t="shared" si="452"/>
        <v>3.95</v>
      </c>
      <c r="I295" s="559">
        <f t="shared" si="453"/>
        <v>48</v>
      </c>
      <c r="J295" s="454">
        <f t="shared" si="454"/>
        <v>15.899999999999999</v>
      </c>
      <c r="K295" s="454">
        <f t="shared" si="455"/>
        <v>63.9</v>
      </c>
      <c r="L295" s="454"/>
      <c r="M295" s="223">
        <f t="shared" si="456"/>
        <v>0.24882629107981219</v>
      </c>
      <c r="N295" s="178">
        <f t="shared" si="457"/>
        <v>8.0619718309859145</v>
      </c>
      <c r="O295" s="178">
        <f t="shared" si="449"/>
        <v>3.95</v>
      </c>
      <c r="P295" s="223">
        <f t="shared" si="458"/>
        <v>1.6123943661971829</v>
      </c>
      <c r="Q295" s="223">
        <f t="shared" si="459"/>
        <v>5</v>
      </c>
      <c r="R295" s="223"/>
      <c r="S295" s="178">
        <f t="shared" si="460"/>
        <v>25.200886974744392</v>
      </c>
      <c r="T295" s="178">
        <f t="shared" si="461"/>
        <v>5</v>
      </c>
      <c r="U295" s="223">
        <f t="shared" si="462"/>
        <v>0.73493186582809233</v>
      </c>
      <c r="V295" s="223">
        <f t="shared" si="463"/>
        <v>0.45933241614255776</v>
      </c>
      <c r="W295" s="223">
        <f t="shared" si="464"/>
        <v>1.3866638977888537</v>
      </c>
      <c r="X295" s="203">
        <f t="shared" si="465"/>
        <v>350</v>
      </c>
      <c r="Y295" s="454">
        <f t="shared" si="451"/>
        <v>350</v>
      </c>
      <c r="AA295" s="223">
        <f t="shared" si="466"/>
        <v>1.1374916163648559</v>
      </c>
      <c r="AB295" s="179">
        <f t="shared" si="467"/>
        <v>2.1462105969148224</v>
      </c>
      <c r="AC295" s="179">
        <f t="shared" si="468"/>
        <v>1.2816806944956125</v>
      </c>
      <c r="AD295" s="179"/>
      <c r="AE295" s="179">
        <f t="shared" si="469"/>
        <v>0.5660377358490567</v>
      </c>
      <c r="AF295" s="563">
        <f t="shared" si="470"/>
        <v>3101.4814814814808</v>
      </c>
      <c r="AG295" s="546">
        <f t="shared" si="471"/>
        <v>8.9150943396226423E-2</v>
      </c>
      <c r="AI295" s="179">
        <f t="shared" si="472"/>
        <v>0.8930418856491612</v>
      </c>
      <c r="AJ295" s="179">
        <f t="shared" si="473"/>
        <v>0.8930418856491612</v>
      </c>
      <c r="AK295" s="179">
        <f t="shared" si="474"/>
        <v>1.6392902856660454</v>
      </c>
      <c r="AM295" s="563">
        <f t="shared" si="475"/>
        <v>790</v>
      </c>
      <c r="AN295" s="472">
        <f t="shared" si="476"/>
        <v>350</v>
      </c>
      <c r="AP295">
        <f t="shared" si="477"/>
        <v>790</v>
      </c>
      <c r="AQ295">
        <f t="shared" si="478"/>
        <v>350</v>
      </c>
      <c r="AS295" s="6">
        <f t="shared" si="450"/>
        <v>2.8571428571428572</v>
      </c>
      <c r="AT295" s="6">
        <f t="shared" si="479"/>
        <v>0.55815117853072582</v>
      </c>
      <c r="AU295" s="6">
        <f t="shared" si="414"/>
        <v>2.2989916786121314</v>
      </c>
      <c r="AV295" s="6"/>
      <c r="AW295" s="179">
        <f t="shared" si="415"/>
        <v>0.19535291248575404</v>
      </c>
      <c r="AX295" s="179"/>
      <c r="BA295" s="472">
        <f t="shared" si="416"/>
        <v>8.8187886207854671</v>
      </c>
      <c r="BB295" s="6">
        <f t="shared" si="417"/>
        <v>0.17517394156091665</v>
      </c>
      <c r="CD295" s="581">
        <f t="shared" si="480"/>
        <v>-50</v>
      </c>
      <c r="CE295">
        <f t="shared" si="481"/>
        <v>-50</v>
      </c>
    </row>
    <row r="296" spans="5:83" x14ac:dyDescent="0.2">
      <c r="E296" s="176">
        <v>80</v>
      </c>
      <c r="F296" s="223">
        <f t="shared" si="482"/>
        <v>0.8</v>
      </c>
      <c r="G296" s="223"/>
      <c r="H296" s="223">
        <f t="shared" si="452"/>
        <v>4</v>
      </c>
      <c r="I296" s="559">
        <f t="shared" si="453"/>
        <v>48</v>
      </c>
      <c r="J296" s="454">
        <f t="shared" si="454"/>
        <v>15.899999999999999</v>
      </c>
      <c r="K296" s="454">
        <f t="shared" si="455"/>
        <v>63.9</v>
      </c>
      <c r="L296" s="454"/>
      <c r="M296" s="223">
        <f t="shared" si="456"/>
        <v>0.24882629107981219</v>
      </c>
      <c r="N296" s="178">
        <f t="shared" si="457"/>
        <v>8.0619718309859145</v>
      </c>
      <c r="O296" s="178">
        <f t="shared" si="449"/>
        <v>4</v>
      </c>
      <c r="P296" s="223">
        <f t="shared" si="458"/>
        <v>1.6123943661971829</v>
      </c>
      <c r="Q296" s="223">
        <f t="shared" si="459"/>
        <v>5</v>
      </c>
      <c r="R296" s="223"/>
      <c r="S296" s="178">
        <f t="shared" si="460"/>
        <v>24.692060990957753</v>
      </c>
      <c r="T296" s="178">
        <f t="shared" si="461"/>
        <v>5</v>
      </c>
      <c r="U296" s="223">
        <f t="shared" si="462"/>
        <v>0.74423480083857441</v>
      </c>
      <c r="V296" s="223">
        <f t="shared" si="463"/>
        <v>0.46514675052410903</v>
      </c>
      <c r="W296" s="223">
        <f t="shared" si="464"/>
        <v>1.404216605355801</v>
      </c>
      <c r="X296" s="203">
        <f t="shared" si="465"/>
        <v>350</v>
      </c>
      <c r="Y296" s="454">
        <f t="shared" si="451"/>
        <v>350</v>
      </c>
      <c r="AA296" s="223">
        <f t="shared" si="466"/>
        <v>1.1374916163648559</v>
      </c>
      <c r="AB296" s="179">
        <f t="shared" si="467"/>
        <v>2.1462105969148224</v>
      </c>
      <c r="AC296" s="179">
        <f t="shared" si="468"/>
        <v>1.2816806944956125</v>
      </c>
      <c r="AD296" s="179"/>
      <c r="AE296" s="179">
        <f t="shared" si="469"/>
        <v>0.5660377358490567</v>
      </c>
      <c r="AF296" s="563">
        <f t="shared" si="470"/>
        <v>3140.7407407407404</v>
      </c>
      <c r="AG296" s="546">
        <f t="shared" si="471"/>
        <v>8.9150943396226423E-2</v>
      </c>
      <c r="AI296" s="179">
        <f t="shared" si="472"/>
        <v>0.89867627520651039</v>
      </c>
      <c r="AJ296" s="179">
        <f t="shared" si="473"/>
        <v>0.89867627520651039</v>
      </c>
      <c r="AK296" s="179">
        <f t="shared" si="474"/>
        <v>1.6434639075603781</v>
      </c>
      <c r="AM296" s="563">
        <f t="shared" si="475"/>
        <v>800</v>
      </c>
      <c r="AN296" s="472">
        <f t="shared" si="476"/>
        <v>350</v>
      </c>
      <c r="AP296">
        <f t="shared" si="477"/>
        <v>800</v>
      </c>
      <c r="AQ296">
        <f t="shared" si="478"/>
        <v>350</v>
      </c>
      <c r="AS296" s="6">
        <f t="shared" si="450"/>
        <v>2.8571428571428572</v>
      </c>
      <c r="AT296" s="6">
        <f t="shared" si="479"/>
        <v>0.56167267200406912</v>
      </c>
      <c r="AU296" s="6">
        <f t="shared" si="414"/>
        <v>2.2954701851387882</v>
      </c>
      <c r="AV296" s="6"/>
      <c r="AW296" s="179">
        <f t="shared" si="415"/>
        <v>0.19658543520142419</v>
      </c>
      <c r="AX296" s="179"/>
      <c r="BA296" s="472">
        <f t="shared" si="416"/>
        <v>8.9867627520651077</v>
      </c>
      <c r="BB296" s="6">
        <f t="shared" si="417"/>
        <v>0.1771196130508324</v>
      </c>
      <c r="CD296" s="581">
        <f t="shared" si="480"/>
        <v>-50</v>
      </c>
      <c r="CE296">
        <f t="shared" si="481"/>
        <v>-50</v>
      </c>
    </row>
    <row r="297" spans="5:83" x14ac:dyDescent="0.2">
      <c r="E297" s="176">
        <v>81</v>
      </c>
      <c r="F297" s="223">
        <f t="shared" si="482"/>
        <v>0.81</v>
      </c>
      <c r="G297" s="223"/>
      <c r="H297" s="223">
        <f t="shared" si="452"/>
        <v>4.0500000000000007</v>
      </c>
      <c r="I297" s="559">
        <f t="shared" si="453"/>
        <v>48</v>
      </c>
      <c r="J297" s="454">
        <f t="shared" si="454"/>
        <v>15.899999999999999</v>
      </c>
      <c r="K297" s="454">
        <f t="shared" si="455"/>
        <v>63.9</v>
      </c>
      <c r="L297" s="454"/>
      <c r="M297" s="223">
        <f t="shared" si="456"/>
        <v>0.24882629107981219</v>
      </c>
      <c r="N297" s="178">
        <f t="shared" si="457"/>
        <v>8.0619718309859145</v>
      </c>
      <c r="O297" s="178">
        <f t="shared" si="449"/>
        <v>4.0500000000000007</v>
      </c>
      <c r="P297" s="223">
        <f t="shared" si="458"/>
        <v>1.6123943661971829</v>
      </c>
      <c r="Q297" s="223">
        <f t="shared" si="459"/>
        <v>5</v>
      </c>
      <c r="R297" s="223"/>
      <c r="S297" s="178">
        <f t="shared" si="460"/>
        <v>24.195950753182192</v>
      </c>
      <c r="T297" s="178">
        <f t="shared" si="461"/>
        <v>5</v>
      </c>
      <c r="U297" s="223">
        <f t="shared" si="462"/>
        <v>0.7535377358490567</v>
      </c>
      <c r="V297" s="223">
        <f t="shared" si="463"/>
        <v>0.47096108490566041</v>
      </c>
      <c r="W297" s="223">
        <f t="shared" si="464"/>
        <v>1.4217693129227484</v>
      </c>
      <c r="X297" s="203">
        <f t="shared" si="465"/>
        <v>350</v>
      </c>
      <c r="Y297" s="454">
        <f t="shared" si="451"/>
        <v>350</v>
      </c>
      <c r="AA297" s="223">
        <f t="shared" si="466"/>
        <v>1.1374916163648559</v>
      </c>
      <c r="AB297" s="179">
        <f t="shared" si="467"/>
        <v>2.1462105969148224</v>
      </c>
      <c r="AC297" s="179">
        <f t="shared" si="468"/>
        <v>1.2816806944956125</v>
      </c>
      <c r="AD297" s="179"/>
      <c r="AE297" s="179">
        <f t="shared" si="469"/>
        <v>0.5660377358490567</v>
      </c>
      <c r="AF297" s="563">
        <f t="shared" si="470"/>
        <v>3179.9999999999995</v>
      </c>
      <c r="AG297" s="546">
        <f t="shared" si="471"/>
        <v>8.9150943396226423E-2</v>
      </c>
      <c r="AI297" s="179">
        <f t="shared" si="472"/>
        <v>0.90427555850762975</v>
      </c>
      <c r="AJ297" s="179">
        <f t="shared" si="473"/>
        <v>0.90427555850762975</v>
      </c>
      <c r="AK297" s="179">
        <f t="shared" si="474"/>
        <v>1.6476115248204666</v>
      </c>
      <c r="AM297" s="563">
        <f t="shared" si="475"/>
        <v>810</v>
      </c>
      <c r="AN297" s="472">
        <f t="shared" si="476"/>
        <v>350</v>
      </c>
      <c r="AP297">
        <f t="shared" si="477"/>
        <v>810</v>
      </c>
      <c r="AQ297">
        <f t="shared" si="478"/>
        <v>350</v>
      </c>
      <c r="AS297" s="6">
        <f t="shared" si="450"/>
        <v>2.8571428571428572</v>
      </c>
      <c r="AT297" s="6">
        <f t="shared" si="479"/>
        <v>0.56517222406726864</v>
      </c>
      <c r="AU297" s="6">
        <f t="shared" si="414"/>
        <v>2.2919706330755885</v>
      </c>
      <c r="AV297" s="6"/>
      <c r="AW297" s="179">
        <f t="shared" si="415"/>
        <v>0.19781027842354401</v>
      </c>
      <c r="AX297" s="179"/>
      <c r="BA297" s="472">
        <f t="shared" si="416"/>
        <v>9.1557900298897525</v>
      </c>
      <c r="BB297" s="6">
        <f t="shared" si="417"/>
        <v>0.17906020570903033</v>
      </c>
      <c r="CD297" s="581">
        <f t="shared" si="480"/>
        <v>-50</v>
      </c>
      <c r="CE297">
        <f t="shared" si="481"/>
        <v>-50</v>
      </c>
    </row>
    <row r="298" spans="5:83" x14ac:dyDescent="0.2">
      <c r="E298" s="176">
        <v>82</v>
      </c>
      <c r="F298" s="223">
        <f t="shared" si="482"/>
        <v>0.82</v>
      </c>
      <c r="G298" s="223"/>
      <c r="H298" s="223">
        <f t="shared" si="452"/>
        <v>4.0999999999999996</v>
      </c>
      <c r="I298" s="559">
        <f t="shared" si="453"/>
        <v>48</v>
      </c>
      <c r="J298" s="454">
        <f t="shared" si="454"/>
        <v>15.899999999999999</v>
      </c>
      <c r="K298" s="454">
        <f t="shared" si="455"/>
        <v>63.9</v>
      </c>
      <c r="L298" s="454"/>
      <c r="M298" s="223">
        <f t="shared" si="456"/>
        <v>0.24882629107981219</v>
      </c>
      <c r="N298" s="178">
        <f t="shared" si="457"/>
        <v>8.0619718309859145</v>
      </c>
      <c r="O298" s="178">
        <f t="shared" si="449"/>
        <v>4.0999999999999996</v>
      </c>
      <c r="P298" s="223">
        <f t="shared" si="458"/>
        <v>1.6123943661971829</v>
      </c>
      <c r="Q298" s="223">
        <f t="shared" si="459"/>
        <v>5</v>
      </c>
      <c r="R298" s="223"/>
      <c r="S298" s="178">
        <f t="shared" si="460"/>
        <v>23.712094386163923</v>
      </c>
      <c r="T298" s="178">
        <f t="shared" si="461"/>
        <v>5</v>
      </c>
      <c r="U298" s="223">
        <f t="shared" si="462"/>
        <v>0.76284067085953877</v>
      </c>
      <c r="V298" s="223">
        <f t="shared" si="463"/>
        <v>0.47677541928721179</v>
      </c>
      <c r="W298" s="223">
        <f t="shared" si="464"/>
        <v>1.4393220204896959</v>
      </c>
      <c r="X298" s="203">
        <f t="shared" si="465"/>
        <v>350</v>
      </c>
      <c r="Y298" s="454">
        <f t="shared" si="451"/>
        <v>350</v>
      </c>
      <c r="AA298" s="223">
        <f t="shared" si="466"/>
        <v>1.1374916163648559</v>
      </c>
      <c r="AB298" s="179">
        <f t="shared" si="467"/>
        <v>2.1462105969148224</v>
      </c>
      <c r="AC298" s="179">
        <f t="shared" si="468"/>
        <v>1.2816806944956125</v>
      </c>
      <c r="AD298" s="179"/>
      <c r="AE298" s="179">
        <f t="shared" si="469"/>
        <v>0.5660377358490567</v>
      </c>
      <c r="AF298" s="563">
        <f t="shared" si="470"/>
        <v>3219.2592592592582</v>
      </c>
      <c r="AG298" s="546">
        <f t="shared" si="471"/>
        <v>8.9150943396226423E-2</v>
      </c>
      <c r="AI298" s="179">
        <f t="shared" si="472"/>
        <v>0.90984038369898912</v>
      </c>
      <c r="AJ298" s="179">
        <f t="shared" si="473"/>
        <v>0.90984038369898912</v>
      </c>
      <c r="AK298" s="179">
        <f t="shared" si="474"/>
        <v>1.6517336175548067</v>
      </c>
      <c r="AM298" s="563">
        <f t="shared" si="475"/>
        <v>820</v>
      </c>
      <c r="AN298" s="472">
        <f t="shared" si="476"/>
        <v>350</v>
      </c>
      <c r="AP298">
        <f t="shared" si="477"/>
        <v>820</v>
      </c>
      <c r="AQ298">
        <f t="shared" si="478"/>
        <v>350</v>
      </c>
      <c r="AS298" s="6">
        <f t="shared" si="450"/>
        <v>2.8571428571428572</v>
      </c>
      <c r="AT298" s="6">
        <f t="shared" si="479"/>
        <v>0.56865023981186824</v>
      </c>
      <c r="AU298" s="6">
        <f t="shared" ref="AU298:AU316" si="483">AS298-AT298</f>
        <v>2.2884926173309887</v>
      </c>
      <c r="AV298" s="6"/>
      <c r="AW298" s="179">
        <f t="shared" ref="AW298:AW316" si="484">AT298/AS298</f>
        <v>0.19902758393415387</v>
      </c>
      <c r="AX298" s="179"/>
      <c r="BA298" s="472">
        <f t="shared" si="416"/>
        <v>9.325863932914638</v>
      </c>
      <c r="BB298" s="6">
        <f t="shared" si="417"/>
        <v>0.18099575098489684</v>
      </c>
      <c r="CD298" s="581">
        <f t="shared" si="480"/>
        <v>-50</v>
      </c>
      <c r="CE298">
        <f t="shared" si="481"/>
        <v>-50</v>
      </c>
    </row>
    <row r="299" spans="5:83" x14ac:dyDescent="0.2">
      <c r="E299" s="176">
        <v>83</v>
      </c>
      <c r="F299" s="223">
        <f t="shared" si="482"/>
        <v>0.83</v>
      </c>
      <c r="G299" s="223"/>
      <c r="H299" s="223">
        <f t="shared" si="452"/>
        <v>4.1499999999999995</v>
      </c>
      <c r="I299" s="559">
        <f t="shared" si="453"/>
        <v>48</v>
      </c>
      <c r="J299" s="454">
        <f t="shared" si="454"/>
        <v>15.899999999999999</v>
      </c>
      <c r="K299" s="454">
        <f t="shared" si="455"/>
        <v>63.9</v>
      </c>
      <c r="L299" s="454"/>
      <c r="M299" s="223">
        <f t="shared" si="456"/>
        <v>0.24882629107981219</v>
      </c>
      <c r="N299" s="178">
        <f t="shared" si="457"/>
        <v>8.0619718309859145</v>
      </c>
      <c r="O299" s="178">
        <f t="shared" si="449"/>
        <v>4.1499999999999995</v>
      </c>
      <c r="P299" s="223">
        <f t="shared" si="458"/>
        <v>1.6123943661971829</v>
      </c>
      <c r="Q299" s="223">
        <f t="shared" si="459"/>
        <v>5</v>
      </c>
      <c r="R299" s="223"/>
      <c r="S299" s="178">
        <f t="shared" si="460"/>
        <v>23.240052366000789</v>
      </c>
      <c r="T299" s="178">
        <f t="shared" si="461"/>
        <v>5</v>
      </c>
      <c r="U299" s="223">
        <f t="shared" si="462"/>
        <v>0.77214360587002084</v>
      </c>
      <c r="V299" s="223">
        <f t="shared" si="463"/>
        <v>0.48258975366876306</v>
      </c>
      <c r="W299" s="223">
        <f t="shared" si="464"/>
        <v>1.4568747280566432</v>
      </c>
      <c r="X299" s="203">
        <f t="shared" si="465"/>
        <v>350</v>
      </c>
      <c r="Y299" s="454">
        <f t="shared" si="451"/>
        <v>350</v>
      </c>
      <c r="AA299" s="223">
        <f t="shared" si="466"/>
        <v>1.1374916163648559</v>
      </c>
      <c r="AB299" s="179">
        <f t="shared" si="467"/>
        <v>2.1462105969148224</v>
      </c>
      <c r="AC299" s="179">
        <f t="shared" si="468"/>
        <v>1.2816806944956125</v>
      </c>
      <c r="AD299" s="179"/>
      <c r="AE299" s="179">
        <f t="shared" si="469"/>
        <v>0.5660377358490567</v>
      </c>
      <c r="AF299" s="563">
        <f t="shared" si="470"/>
        <v>3258.5185185185178</v>
      </c>
      <c r="AG299" s="546">
        <f t="shared" si="471"/>
        <v>8.9150943396226423E-2</v>
      </c>
      <c r="AI299" s="179">
        <f t="shared" si="472"/>
        <v>0.9153713792252639</v>
      </c>
      <c r="AJ299" s="179">
        <f t="shared" si="473"/>
        <v>0.9153713792252639</v>
      </c>
      <c r="AK299" s="179">
        <f t="shared" si="474"/>
        <v>1.6558306512779732</v>
      </c>
      <c r="AM299" s="563">
        <f t="shared" si="475"/>
        <v>830</v>
      </c>
      <c r="AN299" s="472">
        <f t="shared" si="476"/>
        <v>350</v>
      </c>
      <c r="AP299">
        <f t="shared" si="477"/>
        <v>830</v>
      </c>
      <c r="AQ299">
        <f t="shared" si="478"/>
        <v>350</v>
      </c>
      <c r="AS299" s="6">
        <f t="shared" si="450"/>
        <v>2.8571428571428572</v>
      </c>
      <c r="AT299" s="6">
        <f t="shared" si="479"/>
        <v>0.5721071120157899</v>
      </c>
      <c r="AU299" s="6">
        <f t="shared" si="483"/>
        <v>2.2850357451270673</v>
      </c>
      <c r="AV299" s="6"/>
      <c r="AW299" s="179">
        <f t="shared" si="484"/>
        <v>0.20023748920552645</v>
      </c>
      <c r="AX299" s="179"/>
      <c r="BA299" s="472">
        <f t="shared" si="416"/>
        <v>9.496978059462112</v>
      </c>
      <c r="BB299" s="6">
        <f t="shared" si="417"/>
        <v>0.18292627975072007</v>
      </c>
      <c r="CD299" s="581">
        <f t="shared" si="480"/>
        <v>-50</v>
      </c>
      <c r="CE299">
        <f t="shared" si="481"/>
        <v>-50</v>
      </c>
    </row>
    <row r="300" spans="5:83" x14ac:dyDescent="0.2">
      <c r="E300" s="176">
        <v>84</v>
      </c>
      <c r="F300" s="223">
        <f t="shared" si="482"/>
        <v>0.84</v>
      </c>
      <c r="G300" s="223"/>
      <c r="H300" s="223">
        <f t="shared" si="452"/>
        <v>4.2</v>
      </c>
      <c r="I300" s="559">
        <f t="shared" si="453"/>
        <v>48</v>
      </c>
      <c r="J300" s="454">
        <f t="shared" si="454"/>
        <v>15.899999999999999</v>
      </c>
      <c r="K300" s="454">
        <f t="shared" si="455"/>
        <v>63.9</v>
      </c>
      <c r="L300" s="454"/>
      <c r="M300" s="223">
        <f t="shared" si="456"/>
        <v>0.24882629107981219</v>
      </c>
      <c r="N300" s="178">
        <f t="shared" si="457"/>
        <v>8.0619718309859145</v>
      </c>
      <c r="O300" s="178">
        <f t="shared" si="449"/>
        <v>4.2</v>
      </c>
      <c r="P300" s="223">
        <f t="shared" si="458"/>
        <v>1.6123943661971829</v>
      </c>
      <c r="Q300" s="223">
        <f t="shared" si="459"/>
        <v>5</v>
      </c>
      <c r="R300" s="223"/>
      <c r="S300" s="178">
        <f t="shared" si="460"/>
        <v>22.779406192686483</v>
      </c>
      <c r="T300" s="178">
        <f t="shared" si="461"/>
        <v>5</v>
      </c>
      <c r="U300" s="223">
        <f t="shared" si="462"/>
        <v>0.78144654088050314</v>
      </c>
      <c r="V300" s="223">
        <f t="shared" si="463"/>
        <v>0.48840408805031443</v>
      </c>
      <c r="W300" s="223">
        <f t="shared" si="464"/>
        <v>1.4744274356235909</v>
      </c>
      <c r="X300" s="203">
        <f t="shared" si="465"/>
        <v>350</v>
      </c>
      <c r="Y300" s="454">
        <f t="shared" si="451"/>
        <v>350</v>
      </c>
      <c r="AA300" s="223">
        <f t="shared" si="466"/>
        <v>1.1374916163648559</v>
      </c>
      <c r="AB300" s="179">
        <f t="shared" si="467"/>
        <v>2.1462105969148224</v>
      </c>
      <c r="AC300" s="179">
        <f t="shared" si="468"/>
        <v>1.2816806944956125</v>
      </c>
      <c r="AD300" s="179"/>
      <c r="AE300" s="179">
        <f t="shared" si="469"/>
        <v>0.5660377358490567</v>
      </c>
      <c r="AF300" s="563">
        <f t="shared" si="470"/>
        <v>3297.7777777777769</v>
      </c>
      <c r="AG300" s="546">
        <f t="shared" si="471"/>
        <v>8.9150943396226423E-2</v>
      </c>
      <c r="AI300" s="179">
        <f t="shared" si="472"/>
        <v>0.92086915465770702</v>
      </c>
      <c r="AJ300" s="179">
        <f t="shared" si="473"/>
        <v>0.92086915465770702</v>
      </c>
      <c r="AK300" s="179">
        <f t="shared" si="474"/>
        <v>1.6599030775242274</v>
      </c>
      <c r="AM300" s="563">
        <f t="shared" si="475"/>
        <v>840</v>
      </c>
      <c r="AN300" s="472">
        <f t="shared" si="476"/>
        <v>350</v>
      </c>
      <c r="AP300">
        <f t="shared" si="477"/>
        <v>840</v>
      </c>
      <c r="AQ300">
        <f t="shared" si="478"/>
        <v>350</v>
      </c>
      <c r="AS300" s="6">
        <f t="shared" si="450"/>
        <v>2.8571428571428572</v>
      </c>
      <c r="AT300" s="6">
        <f t="shared" si="479"/>
        <v>0.57554322166106686</v>
      </c>
      <c r="AU300" s="6">
        <f t="shared" si="483"/>
        <v>2.2815996354817902</v>
      </c>
      <c r="AV300" s="6"/>
      <c r="AW300" s="179">
        <f t="shared" si="484"/>
        <v>0.20144012758137339</v>
      </c>
      <c r="AX300" s="179"/>
      <c r="BA300" s="472">
        <f t="shared" si="416"/>
        <v>9.6691261239059241</v>
      </c>
      <c r="BB300" s="6">
        <f t="shared" si="417"/>
        <v>0.1848518223191265</v>
      </c>
      <c r="CD300" s="581">
        <f t="shared" si="480"/>
        <v>-50</v>
      </c>
      <c r="CE300">
        <f t="shared" si="481"/>
        <v>-50</v>
      </c>
    </row>
    <row r="301" spans="5:83" x14ac:dyDescent="0.2">
      <c r="E301" s="176">
        <v>85</v>
      </c>
      <c r="F301" s="223">
        <f t="shared" si="482"/>
        <v>0.85</v>
      </c>
      <c r="G301" s="223"/>
      <c r="H301" s="223">
        <f t="shared" si="452"/>
        <v>4.25</v>
      </c>
      <c r="I301" s="559">
        <f t="shared" si="453"/>
        <v>48</v>
      </c>
      <c r="J301" s="454">
        <f t="shared" si="454"/>
        <v>15.899999999999999</v>
      </c>
      <c r="K301" s="454">
        <f t="shared" si="455"/>
        <v>63.9</v>
      </c>
      <c r="L301" s="454"/>
      <c r="M301" s="223">
        <f t="shared" si="456"/>
        <v>0.24882629107981219</v>
      </c>
      <c r="N301" s="178">
        <f t="shared" si="457"/>
        <v>8.0619718309859145</v>
      </c>
      <c r="O301" s="178">
        <f t="shared" si="449"/>
        <v>4.25</v>
      </c>
      <c r="P301" s="223">
        <f t="shared" si="458"/>
        <v>1.6123943661971829</v>
      </c>
      <c r="Q301" s="223">
        <f t="shared" si="459"/>
        <v>5</v>
      </c>
      <c r="R301" s="223"/>
      <c r="S301" s="178">
        <f t="shared" si="460"/>
        <v>22.32975715646235</v>
      </c>
      <c r="T301" s="178">
        <f t="shared" si="461"/>
        <v>5</v>
      </c>
      <c r="U301" s="223">
        <f t="shared" si="462"/>
        <v>0.79074947589098532</v>
      </c>
      <c r="V301" s="223">
        <f t="shared" si="463"/>
        <v>0.49421842243186587</v>
      </c>
      <c r="W301" s="223">
        <f t="shared" si="464"/>
        <v>1.4919801431905386</v>
      </c>
      <c r="X301" s="203">
        <f t="shared" si="465"/>
        <v>350</v>
      </c>
      <c r="Y301" s="454">
        <f t="shared" si="451"/>
        <v>350</v>
      </c>
      <c r="AA301" s="223">
        <f t="shared" si="466"/>
        <v>1.1374916163648559</v>
      </c>
      <c r="AB301" s="179">
        <f t="shared" si="467"/>
        <v>2.1462105969148224</v>
      </c>
      <c r="AC301" s="179">
        <f t="shared" si="468"/>
        <v>1.2816806944956125</v>
      </c>
      <c r="AD301" s="179"/>
      <c r="AE301" s="179">
        <f t="shared" si="469"/>
        <v>0.5660377358490567</v>
      </c>
      <c r="AF301" s="563">
        <f t="shared" si="470"/>
        <v>3337.0370370370365</v>
      </c>
      <c r="AG301" s="546">
        <f t="shared" si="471"/>
        <v>8.9150943396226423E-2</v>
      </c>
      <c r="AI301" s="179">
        <f t="shared" si="472"/>
        <v>0.92633430147827189</v>
      </c>
      <c r="AJ301" s="179">
        <f t="shared" si="473"/>
        <v>0.92633430147827189</v>
      </c>
      <c r="AK301" s="179">
        <f t="shared" si="474"/>
        <v>1.6639513344283494</v>
      </c>
      <c r="AM301" s="563">
        <f t="shared" si="475"/>
        <v>850</v>
      </c>
      <c r="AN301" s="472">
        <f t="shared" si="476"/>
        <v>350</v>
      </c>
      <c r="AP301">
        <f t="shared" si="477"/>
        <v>850</v>
      </c>
      <c r="AQ301">
        <f t="shared" si="478"/>
        <v>350</v>
      </c>
      <c r="AS301" s="6">
        <f t="shared" si="450"/>
        <v>2.8571428571428572</v>
      </c>
      <c r="AT301" s="6">
        <f t="shared" si="479"/>
        <v>0.57895893842391999</v>
      </c>
      <c r="AU301" s="6">
        <f t="shared" si="483"/>
        <v>2.2781839187189372</v>
      </c>
      <c r="AV301" s="6"/>
      <c r="AW301" s="179">
        <f t="shared" si="484"/>
        <v>0.20263562844837199</v>
      </c>
      <c r="AX301" s="179"/>
      <c r="BA301" s="472">
        <f t="shared" si="416"/>
        <v>9.8423019532066398</v>
      </c>
      <c r="BB301" s="6">
        <f t="shared" si="417"/>
        <v>0.1867724084597894</v>
      </c>
      <c r="CD301" s="581">
        <f t="shared" si="480"/>
        <v>-50</v>
      </c>
      <c r="CE301">
        <f t="shared" si="481"/>
        <v>-50</v>
      </c>
    </row>
    <row r="302" spans="5:83" x14ac:dyDescent="0.2">
      <c r="E302" s="176">
        <v>86</v>
      </c>
      <c r="F302" s="223">
        <f t="shared" si="482"/>
        <v>0.86</v>
      </c>
      <c r="G302" s="223"/>
      <c r="H302" s="223">
        <f t="shared" si="452"/>
        <v>4.3</v>
      </c>
      <c r="I302" s="559">
        <f t="shared" si="453"/>
        <v>48</v>
      </c>
      <c r="J302" s="454">
        <f t="shared" si="454"/>
        <v>15.899999999999999</v>
      </c>
      <c r="K302" s="454">
        <f t="shared" si="455"/>
        <v>63.9</v>
      </c>
      <c r="L302" s="454"/>
      <c r="M302" s="223">
        <f t="shared" si="456"/>
        <v>0.24882629107981219</v>
      </c>
      <c r="N302" s="178">
        <f t="shared" si="457"/>
        <v>8.0619718309859145</v>
      </c>
      <c r="O302" s="178">
        <f t="shared" si="449"/>
        <v>4.3</v>
      </c>
      <c r="P302" s="223">
        <f t="shared" si="458"/>
        <v>1.6123943661971829</v>
      </c>
      <c r="Q302" s="223">
        <f t="shared" si="459"/>
        <v>5</v>
      </c>
      <c r="R302" s="223"/>
      <c r="S302" s="178">
        <f t="shared" si="460"/>
        <v>21.890725190345286</v>
      </c>
      <c r="T302" s="178">
        <f t="shared" si="461"/>
        <v>5</v>
      </c>
      <c r="U302" s="223">
        <f t="shared" si="462"/>
        <v>0.8000524109014675</v>
      </c>
      <c r="V302" s="223">
        <f t="shared" si="463"/>
        <v>0.50003275681341719</v>
      </c>
      <c r="W302" s="223">
        <f t="shared" si="464"/>
        <v>1.5095328507574859</v>
      </c>
      <c r="X302" s="203">
        <f t="shared" si="465"/>
        <v>350</v>
      </c>
      <c r="Y302" s="454">
        <f t="shared" si="451"/>
        <v>350</v>
      </c>
      <c r="AA302" s="223">
        <f t="shared" si="466"/>
        <v>1.1374916163648559</v>
      </c>
      <c r="AB302" s="179">
        <f t="shared" si="467"/>
        <v>2.1462105969148224</v>
      </c>
      <c r="AC302" s="179">
        <f t="shared" si="468"/>
        <v>1.2816806944956125</v>
      </c>
      <c r="AD302" s="179"/>
      <c r="AE302" s="179">
        <f t="shared" si="469"/>
        <v>0.5660377358490567</v>
      </c>
      <c r="AF302" s="563">
        <f t="shared" si="470"/>
        <v>3376.2962962962956</v>
      </c>
      <c r="AG302" s="546">
        <f t="shared" si="471"/>
        <v>8.9150943396226423E-2</v>
      </c>
      <c r="AI302" s="179">
        <f t="shared" si="472"/>
        <v>0.9317673938223402</v>
      </c>
      <c r="AJ302" s="179">
        <f t="shared" si="473"/>
        <v>0.9317673938223402</v>
      </c>
      <c r="AK302" s="179">
        <f t="shared" si="474"/>
        <v>1.6679758472758075</v>
      </c>
      <c r="AM302" s="563">
        <f t="shared" si="475"/>
        <v>860</v>
      </c>
      <c r="AN302" s="472">
        <f t="shared" si="476"/>
        <v>350</v>
      </c>
      <c r="AP302">
        <f t="shared" si="477"/>
        <v>860</v>
      </c>
      <c r="AQ302">
        <f t="shared" si="478"/>
        <v>350</v>
      </c>
      <c r="AS302" s="6">
        <f t="shared" si="450"/>
        <v>2.8571428571428572</v>
      </c>
      <c r="AT302" s="6">
        <f t="shared" si="479"/>
        <v>0.58235462113896264</v>
      </c>
      <c r="AU302" s="6">
        <f t="shared" si="483"/>
        <v>2.2747882360038947</v>
      </c>
      <c r="AV302" s="6"/>
      <c r="AW302" s="179">
        <f t="shared" si="484"/>
        <v>0.20382411739863693</v>
      </c>
      <c r="AX302" s="179"/>
      <c r="BA302" s="472">
        <f t="shared" si="416"/>
        <v>10.016499483590158</v>
      </c>
      <c r="BB302" s="6">
        <f t="shared" si="417"/>
        <v>0.1886880674154465</v>
      </c>
      <c r="CD302" s="581">
        <f t="shared" si="480"/>
        <v>-50</v>
      </c>
      <c r="CE302">
        <f t="shared" si="481"/>
        <v>-50</v>
      </c>
    </row>
    <row r="303" spans="5:83" x14ac:dyDescent="0.2">
      <c r="E303" s="176">
        <v>87</v>
      </c>
      <c r="F303" s="223">
        <f t="shared" si="482"/>
        <v>0.87</v>
      </c>
      <c r="G303" s="223"/>
      <c r="H303" s="223">
        <f t="shared" si="452"/>
        <v>4.3499999999999996</v>
      </c>
      <c r="I303" s="559">
        <f t="shared" si="453"/>
        <v>48</v>
      </c>
      <c r="J303" s="454">
        <f t="shared" si="454"/>
        <v>15.899999999999999</v>
      </c>
      <c r="K303" s="454">
        <f t="shared" si="455"/>
        <v>63.9</v>
      </c>
      <c r="L303" s="454"/>
      <c r="M303" s="223">
        <f t="shared" si="456"/>
        <v>0.24882629107981219</v>
      </c>
      <c r="N303" s="178">
        <f t="shared" si="457"/>
        <v>8.0619718309859145</v>
      </c>
      <c r="O303" s="178">
        <f t="shared" si="449"/>
        <v>4.3499999999999996</v>
      </c>
      <c r="P303" s="223">
        <f t="shared" si="458"/>
        <v>1.6123943661971829</v>
      </c>
      <c r="Q303" s="223">
        <f t="shared" si="459"/>
        <v>5</v>
      </c>
      <c r="R303" s="223"/>
      <c r="S303" s="178">
        <f t="shared" si="460"/>
        <v>21.461947801901481</v>
      </c>
      <c r="T303" s="178">
        <f t="shared" si="461"/>
        <v>5</v>
      </c>
      <c r="U303" s="223">
        <f t="shared" si="462"/>
        <v>0.80935534591194958</v>
      </c>
      <c r="V303" s="223">
        <f t="shared" si="463"/>
        <v>0.50584709119496851</v>
      </c>
      <c r="W303" s="223">
        <f t="shared" si="464"/>
        <v>1.5270855583244334</v>
      </c>
      <c r="X303" s="203">
        <f t="shared" si="465"/>
        <v>350</v>
      </c>
      <c r="Y303" s="454">
        <f t="shared" si="451"/>
        <v>350</v>
      </c>
      <c r="AA303" s="223">
        <f t="shared" si="466"/>
        <v>1.1374916163648559</v>
      </c>
      <c r="AB303" s="179">
        <f t="shared" si="467"/>
        <v>2.1462105969148224</v>
      </c>
      <c r="AC303" s="179">
        <f t="shared" si="468"/>
        <v>1.2816806944956125</v>
      </c>
      <c r="AD303" s="179"/>
      <c r="AE303" s="179">
        <f t="shared" si="469"/>
        <v>0.5660377358490567</v>
      </c>
      <c r="AF303" s="563">
        <f t="shared" si="470"/>
        <v>3415.5555555555552</v>
      </c>
      <c r="AG303" s="546">
        <f t="shared" si="471"/>
        <v>8.9150943396226423E-2</v>
      </c>
      <c r="AI303" s="179">
        <f t="shared" si="472"/>
        <v>0.93716898918269498</v>
      </c>
      <c r="AJ303" s="179">
        <f t="shared" si="473"/>
        <v>0.93716898918269498</v>
      </c>
      <c r="AK303" s="179">
        <f t="shared" si="474"/>
        <v>1.6719770290242186</v>
      </c>
      <c r="AM303" s="563">
        <f t="shared" si="475"/>
        <v>870</v>
      </c>
      <c r="AN303" s="472">
        <f t="shared" si="476"/>
        <v>350</v>
      </c>
      <c r="AP303">
        <f t="shared" si="477"/>
        <v>870</v>
      </c>
      <c r="AQ303">
        <f t="shared" si="478"/>
        <v>350</v>
      </c>
      <c r="AS303" s="6">
        <f t="shared" si="450"/>
        <v>2.8571428571428572</v>
      </c>
      <c r="AT303" s="6">
        <f t="shared" si="479"/>
        <v>0.58573061823918438</v>
      </c>
      <c r="AU303" s="6">
        <f t="shared" si="483"/>
        <v>2.2714122389036726</v>
      </c>
      <c r="AV303" s="6"/>
      <c r="AW303" s="179">
        <f t="shared" si="484"/>
        <v>0.20500571638371454</v>
      </c>
      <c r="AX303" s="179"/>
      <c r="BA303" s="472">
        <f t="shared" si="416"/>
        <v>10.19171275736181</v>
      </c>
      <c r="BB303" s="6">
        <f t="shared" si="417"/>
        <v>0.19059882791726415</v>
      </c>
      <c r="CD303" s="581">
        <f t="shared" si="480"/>
        <v>-50</v>
      </c>
      <c r="CE303">
        <f t="shared" si="481"/>
        <v>-50</v>
      </c>
    </row>
    <row r="304" spans="5:83" x14ac:dyDescent="0.2">
      <c r="E304" s="176">
        <v>88</v>
      </c>
      <c r="F304" s="223">
        <f t="shared" si="482"/>
        <v>0.88</v>
      </c>
      <c r="G304" s="223"/>
      <c r="H304" s="223">
        <f t="shared" si="452"/>
        <v>4.4000000000000004</v>
      </c>
      <c r="I304" s="559">
        <f t="shared" si="453"/>
        <v>48</v>
      </c>
      <c r="J304" s="454">
        <f t="shared" si="454"/>
        <v>15.899999999999999</v>
      </c>
      <c r="K304" s="454">
        <f t="shared" si="455"/>
        <v>63.9</v>
      </c>
      <c r="L304" s="454"/>
      <c r="M304" s="223">
        <f t="shared" si="456"/>
        <v>0.24882629107981219</v>
      </c>
      <c r="N304" s="178">
        <f t="shared" si="457"/>
        <v>8.0619718309859145</v>
      </c>
      <c r="O304" s="178">
        <f t="shared" si="449"/>
        <v>4.4000000000000004</v>
      </c>
      <c r="P304" s="223">
        <f t="shared" si="458"/>
        <v>1.6123943661971829</v>
      </c>
      <c r="Q304" s="223">
        <f t="shared" si="459"/>
        <v>5</v>
      </c>
      <c r="R304" s="223"/>
      <c r="S304" s="178">
        <f t="shared" si="460"/>
        <v>21.043079077966389</v>
      </c>
      <c r="T304" s="178">
        <f t="shared" si="461"/>
        <v>5</v>
      </c>
      <c r="U304" s="223">
        <f t="shared" si="462"/>
        <v>0.81865828092243198</v>
      </c>
      <c r="V304" s="223">
        <f t="shared" si="463"/>
        <v>0.51166142557652006</v>
      </c>
      <c r="W304" s="223">
        <f t="shared" si="464"/>
        <v>1.5446382658913813</v>
      </c>
      <c r="X304" s="203">
        <f t="shared" si="465"/>
        <v>350</v>
      </c>
      <c r="Y304" s="454">
        <f t="shared" si="451"/>
        <v>350</v>
      </c>
      <c r="AA304" s="223">
        <f t="shared" si="466"/>
        <v>1.1374916163648559</v>
      </c>
      <c r="AB304" s="179">
        <f t="shared" si="467"/>
        <v>2.1462105969148224</v>
      </c>
      <c r="AC304" s="179">
        <f t="shared" si="468"/>
        <v>1.2816806944956125</v>
      </c>
      <c r="AD304" s="179"/>
      <c r="AE304" s="179">
        <f t="shared" si="469"/>
        <v>0.5660377358490567</v>
      </c>
      <c r="AF304" s="563">
        <f t="shared" si="470"/>
        <v>3454.8148148148143</v>
      </c>
      <c r="AG304" s="546">
        <f t="shared" si="471"/>
        <v>8.9150943396226423E-2</v>
      </c>
      <c r="AI304" s="179">
        <f t="shared" si="472"/>
        <v>0.94253962907718225</v>
      </c>
      <c r="AJ304" s="179">
        <f t="shared" si="473"/>
        <v>0.94253962907718225</v>
      </c>
      <c r="AK304" s="179">
        <f t="shared" si="474"/>
        <v>1.6759552807979128</v>
      </c>
      <c r="AM304" s="563">
        <f t="shared" si="475"/>
        <v>880</v>
      </c>
      <c r="AN304" s="472">
        <f t="shared" si="476"/>
        <v>350</v>
      </c>
      <c r="AP304">
        <f t="shared" si="477"/>
        <v>880</v>
      </c>
      <c r="AQ304">
        <f t="shared" si="478"/>
        <v>350</v>
      </c>
      <c r="AS304" s="6">
        <f t="shared" si="450"/>
        <v>2.8571428571428572</v>
      </c>
      <c r="AT304" s="6">
        <f t="shared" si="479"/>
        <v>0.58908726817323886</v>
      </c>
      <c r="AU304" s="6">
        <f t="shared" si="483"/>
        <v>2.2680555889696183</v>
      </c>
      <c r="AV304" s="6"/>
      <c r="AW304" s="179">
        <f t="shared" si="484"/>
        <v>0.20618054386063359</v>
      </c>
      <c r="AX304" s="179"/>
      <c r="BA304" s="472">
        <f t="shared" si="416"/>
        <v>10.367935919849005</v>
      </c>
      <c r="BB304" s="6">
        <f t="shared" si="417"/>
        <v>0.19250471819958179</v>
      </c>
      <c r="CD304" s="581">
        <f t="shared" si="480"/>
        <v>-50</v>
      </c>
      <c r="CE304">
        <f t="shared" si="481"/>
        <v>-50</v>
      </c>
    </row>
    <row r="305" spans="5:83" x14ac:dyDescent="0.2">
      <c r="E305" s="176">
        <v>89</v>
      </c>
      <c r="F305" s="223">
        <f t="shared" si="482"/>
        <v>0.89</v>
      </c>
      <c r="G305" s="223"/>
      <c r="H305" s="223">
        <f t="shared" si="452"/>
        <v>4.45</v>
      </c>
      <c r="I305" s="559">
        <f t="shared" si="453"/>
        <v>48</v>
      </c>
      <c r="J305" s="454">
        <f t="shared" si="454"/>
        <v>15.899999999999999</v>
      </c>
      <c r="K305" s="454">
        <f t="shared" si="455"/>
        <v>63.9</v>
      </c>
      <c r="L305" s="454"/>
      <c r="M305" s="223">
        <f t="shared" si="456"/>
        <v>0.24882629107981219</v>
      </c>
      <c r="N305" s="178">
        <f t="shared" si="457"/>
        <v>8.0619718309859145</v>
      </c>
      <c r="O305" s="178">
        <f t="shared" si="449"/>
        <v>4.45</v>
      </c>
      <c r="P305" s="223">
        <f t="shared" si="458"/>
        <v>1.6123943661971829</v>
      </c>
      <c r="Q305" s="223">
        <f t="shared" si="459"/>
        <v>5</v>
      </c>
      <c r="R305" s="223"/>
      <c r="S305" s="178">
        <f t="shared" si="460"/>
        <v>20.633788756577193</v>
      </c>
      <c r="T305" s="178">
        <f t="shared" si="461"/>
        <v>5</v>
      </c>
      <c r="U305" s="223">
        <f t="shared" si="462"/>
        <v>0.82796121593291405</v>
      </c>
      <c r="V305" s="223">
        <f t="shared" si="463"/>
        <v>0.51747575995807127</v>
      </c>
      <c r="W305" s="223">
        <f t="shared" si="464"/>
        <v>1.5621909734583288</v>
      </c>
      <c r="X305" s="203">
        <f t="shared" si="465"/>
        <v>350</v>
      </c>
      <c r="Y305" s="454">
        <f t="shared" si="451"/>
        <v>350</v>
      </c>
      <c r="AA305" s="223">
        <f t="shared" si="466"/>
        <v>1.1374916163648559</v>
      </c>
      <c r="AB305" s="179">
        <f t="shared" si="467"/>
        <v>2.1462105969148224</v>
      </c>
      <c r="AC305" s="179">
        <f t="shared" si="468"/>
        <v>1.2816806944956125</v>
      </c>
      <c r="AD305" s="179"/>
      <c r="AE305" s="179">
        <f t="shared" si="469"/>
        <v>0.5660377358490567</v>
      </c>
      <c r="AF305" s="563">
        <f t="shared" si="470"/>
        <v>3494.0740740740739</v>
      </c>
      <c r="AG305" s="546">
        <f t="shared" si="471"/>
        <v>8.9150943396226423E-2</v>
      </c>
      <c r="AI305" s="179">
        <f t="shared" si="472"/>
        <v>0.94787983968232514</v>
      </c>
      <c r="AJ305" s="179">
        <f t="shared" si="473"/>
        <v>0.94787983968232514</v>
      </c>
      <c r="AK305" s="179">
        <f t="shared" si="474"/>
        <v>1.6799109923572777</v>
      </c>
      <c r="AM305" s="563">
        <f t="shared" si="475"/>
        <v>890</v>
      </c>
      <c r="AN305" s="472">
        <f t="shared" si="476"/>
        <v>350</v>
      </c>
      <c r="AP305">
        <f t="shared" si="477"/>
        <v>890</v>
      </c>
      <c r="AQ305">
        <f t="shared" si="478"/>
        <v>350</v>
      </c>
      <c r="AS305" s="6">
        <f t="shared" si="450"/>
        <v>2.8571428571428572</v>
      </c>
      <c r="AT305" s="6">
        <f t="shared" si="479"/>
        <v>0.59242489980145319</v>
      </c>
      <c r="AU305" s="6">
        <f t="shared" si="483"/>
        <v>2.264717957341404</v>
      </c>
      <c r="AV305" s="6"/>
      <c r="AW305" s="179">
        <f t="shared" si="484"/>
        <v>0.2073487149305086</v>
      </c>
      <c r="AX305" s="179"/>
      <c r="BA305" s="472">
        <f t="shared" si="416"/>
        <v>10.545163216465868</v>
      </c>
      <c r="BB305" s="6">
        <f t="shared" si="417"/>
        <v>0.19440576601406725</v>
      </c>
      <c r="CD305" s="581">
        <f t="shared" si="480"/>
        <v>-50</v>
      </c>
      <c r="CE305">
        <f t="shared" si="481"/>
        <v>-50</v>
      </c>
    </row>
    <row r="306" spans="5:83" x14ac:dyDescent="0.2">
      <c r="E306" s="176">
        <v>90</v>
      </c>
      <c r="F306" s="223">
        <f t="shared" si="482"/>
        <v>0.9</v>
      </c>
      <c r="G306" s="223"/>
      <c r="H306" s="223">
        <f t="shared" si="452"/>
        <v>4.5</v>
      </c>
      <c r="I306" s="559">
        <f t="shared" si="453"/>
        <v>48</v>
      </c>
      <c r="J306" s="454">
        <f t="shared" si="454"/>
        <v>15.899999999999999</v>
      </c>
      <c r="K306" s="454">
        <f t="shared" si="455"/>
        <v>63.9</v>
      </c>
      <c r="L306" s="454"/>
      <c r="M306" s="223">
        <f t="shared" si="456"/>
        <v>0.24882629107981219</v>
      </c>
      <c r="N306" s="178">
        <f t="shared" si="457"/>
        <v>8.0619718309859145</v>
      </c>
      <c r="O306" s="178">
        <f t="shared" si="449"/>
        <v>4.5</v>
      </c>
      <c r="P306" s="223">
        <f t="shared" si="458"/>
        <v>1.6123943661971829</v>
      </c>
      <c r="Q306" s="223">
        <f t="shared" si="459"/>
        <v>5</v>
      </c>
      <c r="R306" s="223"/>
      <c r="S306" s="178">
        <f t="shared" si="460"/>
        <v>20.233761360894231</v>
      </c>
      <c r="T306" s="178">
        <f t="shared" si="461"/>
        <v>5</v>
      </c>
      <c r="U306" s="223">
        <f t="shared" si="462"/>
        <v>0.83726415094339623</v>
      </c>
      <c r="V306" s="223">
        <f t="shared" si="463"/>
        <v>0.52329009433962259</v>
      </c>
      <c r="W306" s="223">
        <f t="shared" si="464"/>
        <v>1.5797436810252761</v>
      </c>
      <c r="X306" s="203">
        <f t="shared" si="465"/>
        <v>350</v>
      </c>
      <c r="Y306" s="454">
        <f t="shared" si="451"/>
        <v>350</v>
      </c>
      <c r="AA306" s="223">
        <f t="shared" si="466"/>
        <v>1.1374916163648559</v>
      </c>
      <c r="AB306" s="179">
        <f t="shared" si="467"/>
        <v>2.1462105969148224</v>
      </c>
      <c r="AC306" s="179">
        <f t="shared" si="468"/>
        <v>1.2816806944956125</v>
      </c>
      <c r="AD306" s="179"/>
      <c r="AE306" s="179">
        <f t="shared" si="469"/>
        <v>0.5660377358490567</v>
      </c>
      <c r="AF306" s="563">
        <f t="shared" si="470"/>
        <v>3533.3333333333326</v>
      </c>
      <c r="AG306" s="546">
        <f t="shared" si="471"/>
        <v>8.9150943396226423E-2</v>
      </c>
      <c r="AI306" s="179">
        <f t="shared" si="472"/>
        <v>0.95319013243498718</v>
      </c>
      <c r="AJ306" s="179">
        <f t="shared" si="473"/>
        <v>0.95319013243498718</v>
      </c>
      <c r="AK306" s="179">
        <f t="shared" si="474"/>
        <v>1.6838445425444348</v>
      </c>
      <c r="AM306" s="563">
        <f t="shared" si="475"/>
        <v>900</v>
      </c>
      <c r="AN306" s="472">
        <f t="shared" si="476"/>
        <v>350</v>
      </c>
      <c r="AP306">
        <f t="shared" si="477"/>
        <v>900</v>
      </c>
      <c r="AQ306">
        <f t="shared" si="478"/>
        <v>350</v>
      </c>
      <c r="AS306" s="6">
        <f t="shared" si="450"/>
        <v>2.8571428571428572</v>
      </c>
      <c r="AT306" s="6">
        <f t="shared" si="479"/>
        <v>0.59574383277186693</v>
      </c>
      <c r="AU306" s="6">
        <f t="shared" si="483"/>
        <v>2.2613990243709905</v>
      </c>
      <c r="AV306" s="6"/>
      <c r="AW306" s="179">
        <f t="shared" si="484"/>
        <v>0.20851034147015343</v>
      </c>
      <c r="AX306" s="179"/>
      <c r="BA306" s="472">
        <f t="shared" si="416"/>
        <v>10.723388989893605</v>
      </c>
      <c r="BB306" s="6">
        <f t="shared" si="417"/>
        <v>0.19630199864331513</v>
      </c>
      <c r="CD306" s="581">
        <f t="shared" si="480"/>
        <v>-50</v>
      </c>
      <c r="CE306">
        <f t="shared" si="481"/>
        <v>-50</v>
      </c>
    </row>
    <row r="307" spans="5:83" x14ac:dyDescent="0.2">
      <c r="E307" s="176">
        <v>91</v>
      </c>
      <c r="F307" s="223">
        <f t="shared" si="482"/>
        <v>0.91</v>
      </c>
      <c r="G307" s="223"/>
      <c r="H307" s="223">
        <f t="shared" si="452"/>
        <v>4.55</v>
      </c>
      <c r="I307" s="559">
        <f t="shared" si="453"/>
        <v>48</v>
      </c>
      <c r="J307" s="454">
        <f t="shared" si="454"/>
        <v>15.899999999999999</v>
      </c>
      <c r="K307" s="454">
        <f t="shared" si="455"/>
        <v>63.9</v>
      </c>
      <c r="L307" s="454"/>
      <c r="M307" s="223">
        <f t="shared" si="456"/>
        <v>0.24882629107981219</v>
      </c>
      <c r="N307" s="178">
        <f t="shared" si="457"/>
        <v>8.0619718309859145</v>
      </c>
      <c r="O307" s="178">
        <f t="shared" si="449"/>
        <v>4.55</v>
      </c>
      <c r="P307" s="223">
        <f t="shared" si="458"/>
        <v>1.6123943661971829</v>
      </c>
      <c r="Q307" s="223">
        <f t="shared" si="459"/>
        <v>5</v>
      </c>
      <c r="R307" s="223"/>
      <c r="S307" s="178">
        <f t="shared" si="460"/>
        <v>19.842695390346812</v>
      </c>
      <c r="T307" s="178">
        <f t="shared" si="461"/>
        <v>5</v>
      </c>
      <c r="U307" s="223">
        <f t="shared" si="462"/>
        <v>0.84656708595387842</v>
      </c>
      <c r="V307" s="223">
        <f t="shared" si="463"/>
        <v>0.52910442872117402</v>
      </c>
      <c r="W307" s="223">
        <f t="shared" si="464"/>
        <v>1.5972963885922236</v>
      </c>
      <c r="X307" s="203">
        <f t="shared" si="465"/>
        <v>350</v>
      </c>
      <c r="Y307" s="454">
        <f t="shared" si="451"/>
        <v>350</v>
      </c>
      <c r="AA307" s="223">
        <f t="shared" si="466"/>
        <v>1.1374916163648559</v>
      </c>
      <c r="AB307" s="179">
        <f t="shared" si="467"/>
        <v>2.1462105969148224</v>
      </c>
      <c r="AC307" s="179">
        <f t="shared" si="468"/>
        <v>1.2816806944956125</v>
      </c>
      <c r="AD307" s="179"/>
      <c r="AE307" s="179">
        <f t="shared" si="469"/>
        <v>0.5660377358490567</v>
      </c>
      <c r="AF307" s="563">
        <f t="shared" si="470"/>
        <v>3572.5925925925917</v>
      </c>
      <c r="AG307" s="546">
        <f t="shared" si="471"/>
        <v>8.9150943396226423E-2</v>
      </c>
      <c r="AI307" s="179">
        <f t="shared" si="472"/>
        <v>0.95847100460403423</v>
      </c>
      <c r="AJ307" s="179">
        <f t="shared" si="473"/>
        <v>0.95847100460403423</v>
      </c>
      <c r="AK307" s="179">
        <f t="shared" si="474"/>
        <v>1.6877562997066922</v>
      </c>
      <c r="AM307" s="563">
        <f t="shared" si="475"/>
        <v>910</v>
      </c>
      <c r="AN307" s="472">
        <f t="shared" si="476"/>
        <v>350</v>
      </c>
      <c r="AP307">
        <f t="shared" si="477"/>
        <v>910</v>
      </c>
      <c r="AQ307">
        <f t="shared" si="478"/>
        <v>350</v>
      </c>
      <c r="AS307" s="6">
        <f t="shared" si="450"/>
        <v>2.8571428571428572</v>
      </c>
      <c r="AT307" s="6">
        <f t="shared" si="479"/>
        <v>0.59904437787752141</v>
      </c>
      <c r="AU307" s="6">
        <f t="shared" si="483"/>
        <v>2.2580984792653358</v>
      </c>
      <c r="AV307" s="6"/>
      <c r="AW307" s="179">
        <f t="shared" si="484"/>
        <v>0.2096655322571325</v>
      </c>
      <c r="AX307" s="179"/>
      <c r="BA307" s="472">
        <f t="shared" si="416"/>
        <v>10.90260767737089</v>
      </c>
      <c r="BB307" s="6">
        <f t="shared" si="417"/>
        <v>0.1981934429139135</v>
      </c>
      <c r="CD307" s="581">
        <f t="shared" si="480"/>
        <v>-50</v>
      </c>
      <c r="CE307">
        <f t="shared" si="481"/>
        <v>-50</v>
      </c>
    </row>
    <row r="308" spans="5:83" x14ac:dyDescent="0.2">
      <c r="E308" s="176">
        <v>92</v>
      </c>
      <c r="F308" s="223">
        <f t="shared" si="482"/>
        <v>0.92</v>
      </c>
      <c r="G308" s="223"/>
      <c r="H308" s="223">
        <f t="shared" si="452"/>
        <v>4.6000000000000005</v>
      </c>
      <c r="I308" s="559">
        <f t="shared" si="453"/>
        <v>48</v>
      </c>
      <c r="J308" s="454">
        <f t="shared" si="454"/>
        <v>15.899999999999999</v>
      </c>
      <c r="K308" s="454">
        <f t="shared" si="455"/>
        <v>63.9</v>
      </c>
      <c r="L308" s="454"/>
      <c r="M308" s="223">
        <f t="shared" si="456"/>
        <v>0.24882629107981219</v>
      </c>
      <c r="N308" s="178">
        <f t="shared" si="457"/>
        <v>8.0619718309859145</v>
      </c>
      <c r="O308" s="178">
        <f t="shared" si="449"/>
        <v>4.6000000000000005</v>
      </c>
      <c r="P308" s="223">
        <f t="shared" si="458"/>
        <v>1.6123943661971829</v>
      </c>
      <c r="Q308" s="223">
        <f t="shared" si="459"/>
        <v>5</v>
      </c>
      <c r="R308" s="223"/>
      <c r="S308" s="178">
        <f t="shared" si="460"/>
        <v>19.460302564653428</v>
      </c>
      <c r="T308" s="178">
        <f t="shared" si="461"/>
        <v>5</v>
      </c>
      <c r="U308" s="223">
        <f t="shared" si="462"/>
        <v>0.85587002096436071</v>
      </c>
      <c r="V308" s="223">
        <f t="shared" si="463"/>
        <v>0.53491876310272546</v>
      </c>
      <c r="W308" s="223">
        <f t="shared" si="464"/>
        <v>1.6148490961591715</v>
      </c>
      <c r="X308" s="203">
        <f t="shared" si="465"/>
        <v>350</v>
      </c>
      <c r="Y308" s="454">
        <f t="shared" si="451"/>
        <v>350</v>
      </c>
      <c r="AA308" s="223">
        <f t="shared" si="466"/>
        <v>1.1374916163648559</v>
      </c>
      <c r="AB308" s="179">
        <f t="shared" si="467"/>
        <v>2.1462105969148224</v>
      </c>
      <c r="AC308" s="179">
        <f t="shared" si="468"/>
        <v>1.2816806944956125</v>
      </c>
      <c r="AD308" s="179"/>
      <c r="AE308" s="179">
        <f t="shared" si="469"/>
        <v>0.5660377358490567</v>
      </c>
      <c r="AF308" s="563">
        <f t="shared" si="470"/>
        <v>3611.8518518518513</v>
      </c>
      <c r="AG308" s="546">
        <f t="shared" si="471"/>
        <v>8.9150943396226423E-2</v>
      </c>
      <c r="AI308" s="179">
        <f t="shared" si="472"/>
        <v>0.96372293983380131</v>
      </c>
      <c r="AJ308" s="179">
        <f t="shared" si="473"/>
        <v>0.96372293983380131</v>
      </c>
      <c r="AK308" s="179">
        <f t="shared" si="474"/>
        <v>1.6916466220991122</v>
      </c>
      <c r="AM308" s="563">
        <f t="shared" si="475"/>
        <v>920</v>
      </c>
      <c r="AN308" s="472">
        <f t="shared" si="476"/>
        <v>350</v>
      </c>
      <c r="AP308">
        <f t="shared" si="477"/>
        <v>920</v>
      </c>
      <c r="AQ308">
        <f t="shared" si="478"/>
        <v>350</v>
      </c>
      <c r="AS308" s="6">
        <f t="shared" si="450"/>
        <v>2.8571428571428572</v>
      </c>
      <c r="AT308" s="6">
        <f t="shared" si="479"/>
        <v>0.6023268373961258</v>
      </c>
      <c r="AU308" s="6">
        <f t="shared" si="483"/>
        <v>2.2548160197467313</v>
      </c>
      <c r="AV308" s="6"/>
      <c r="AW308" s="179">
        <f t="shared" si="484"/>
        <v>0.21081439308864403</v>
      </c>
      <c r="AX308" s="179"/>
      <c r="BA308" s="472">
        <f t="shared" si="416"/>
        <v>11.082813808088716</v>
      </c>
      <c r="BB308" s="6">
        <f t="shared" si="417"/>
        <v>0.20008012520900778</v>
      </c>
      <c r="CD308" s="581">
        <f t="shared" si="480"/>
        <v>-50</v>
      </c>
      <c r="CE308">
        <f t="shared" si="481"/>
        <v>-50</v>
      </c>
    </row>
    <row r="309" spans="5:83" x14ac:dyDescent="0.2">
      <c r="E309" s="176">
        <v>93</v>
      </c>
      <c r="F309" s="223">
        <f t="shared" si="482"/>
        <v>0.93</v>
      </c>
      <c r="G309" s="223"/>
      <c r="H309" s="223">
        <f t="shared" si="452"/>
        <v>4.6500000000000004</v>
      </c>
      <c r="I309" s="559">
        <f t="shared" si="453"/>
        <v>48</v>
      </c>
      <c r="J309" s="454">
        <f t="shared" si="454"/>
        <v>15.899999999999999</v>
      </c>
      <c r="K309" s="454">
        <f t="shared" si="455"/>
        <v>63.9</v>
      </c>
      <c r="L309" s="454"/>
      <c r="M309" s="223">
        <f t="shared" si="456"/>
        <v>0.24882629107981219</v>
      </c>
      <c r="N309" s="178">
        <f t="shared" si="457"/>
        <v>8.0619718309859145</v>
      </c>
      <c r="O309" s="178">
        <f t="shared" si="449"/>
        <v>4.6500000000000004</v>
      </c>
      <c r="P309" s="223">
        <f t="shared" si="458"/>
        <v>1.6123943661971829</v>
      </c>
      <c r="Q309" s="223">
        <f t="shared" si="459"/>
        <v>5</v>
      </c>
      <c r="R309" s="223"/>
      <c r="S309" s="178">
        <f t="shared" si="460"/>
        <v>19.086307116740588</v>
      </c>
      <c r="T309" s="178">
        <f t="shared" si="461"/>
        <v>5</v>
      </c>
      <c r="U309" s="223">
        <f t="shared" si="462"/>
        <v>0.86517295597484289</v>
      </c>
      <c r="V309" s="223">
        <f t="shared" si="463"/>
        <v>0.54073309748427689</v>
      </c>
      <c r="W309" s="223">
        <f t="shared" si="464"/>
        <v>1.632401803726119</v>
      </c>
      <c r="X309" s="203">
        <f t="shared" si="465"/>
        <v>350</v>
      </c>
      <c r="Y309" s="454">
        <f t="shared" si="451"/>
        <v>350</v>
      </c>
      <c r="AA309" s="223">
        <f t="shared" si="466"/>
        <v>1.1374916163648559</v>
      </c>
      <c r="AB309" s="179">
        <f t="shared" si="467"/>
        <v>2.1462105969148224</v>
      </c>
      <c r="AC309" s="179">
        <f t="shared" si="468"/>
        <v>1.2816806944956125</v>
      </c>
      <c r="AD309" s="179"/>
      <c r="AE309" s="179">
        <f t="shared" si="469"/>
        <v>0.5660377358490567</v>
      </c>
      <c r="AF309" s="563">
        <f t="shared" si="470"/>
        <v>3651.1111111111104</v>
      </c>
      <c r="AG309" s="546">
        <f t="shared" si="471"/>
        <v>8.9150943396226423E-2</v>
      </c>
      <c r="AI309" s="179">
        <f t="shared" si="472"/>
        <v>0.96894640866104809</v>
      </c>
      <c r="AJ309" s="179">
        <f t="shared" si="473"/>
        <v>0.96894640866104809</v>
      </c>
      <c r="AK309" s="179">
        <f t="shared" si="474"/>
        <v>1.695515858267443</v>
      </c>
      <c r="AM309" s="563">
        <f t="shared" si="475"/>
        <v>930</v>
      </c>
      <c r="AN309" s="472">
        <f t="shared" si="476"/>
        <v>350</v>
      </c>
      <c r="AP309">
        <f t="shared" si="477"/>
        <v>930</v>
      </c>
      <c r="AQ309">
        <f t="shared" si="478"/>
        <v>350</v>
      </c>
      <c r="AS309" s="6">
        <f t="shared" si="450"/>
        <v>2.8571428571428572</v>
      </c>
      <c r="AT309" s="6">
        <f t="shared" si="479"/>
        <v>0.60559150541315498</v>
      </c>
      <c r="AU309" s="6">
        <f t="shared" si="483"/>
        <v>2.2515513517297023</v>
      </c>
      <c r="AV309" s="6"/>
      <c r="AW309" s="179">
        <f t="shared" si="484"/>
        <v>0.21195702689460424</v>
      </c>
      <c r="AX309" s="179"/>
      <c r="BA309" s="472">
        <f t="shared" ref="BA309:BA316" si="485">F309*AT309/Vout_ripple*1000</f>
        <v>11.264002000684684</v>
      </c>
      <c r="BB309" s="6">
        <f t="shared" ref="BB309:BB316" si="486">H309/Efficiency/I309*AU309/Vinripple1</f>
        <v>0.20196207148038417</v>
      </c>
      <c r="CD309" s="581">
        <f t="shared" si="480"/>
        <v>-50</v>
      </c>
      <c r="CE309">
        <f t="shared" si="481"/>
        <v>-50</v>
      </c>
    </row>
    <row r="310" spans="5:83" x14ac:dyDescent="0.2">
      <c r="E310" s="176">
        <v>94</v>
      </c>
      <c r="F310" s="223">
        <f t="shared" si="482"/>
        <v>0.94</v>
      </c>
      <c r="G310" s="223"/>
      <c r="H310" s="223">
        <f t="shared" si="452"/>
        <v>4.6999999999999993</v>
      </c>
      <c r="I310" s="559">
        <f t="shared" si="453"/>
        <v>48</v>
      </c>
      <c r="J310" s="454">
        <f t="shared" si="454"/>
        <v>15.899999999999999</v>
      </c>
      <c r="K310" s="454">
        <f t="shared" si="455"/>
        <v>63.9</v>
      </c>
      <c r="L310" s="454"/>
      <c r="M310" s="223">
        <f t="shared" si="456"/>
        <v>0.24882629107981219</v>
      </c>
      <c r="N310" s="178">
        <f t="shared" si="457"/>
        <v>8.0619718309859145</v>
      </c>
      <c r="O310" s="178">
        <f t="shared" si="449"/>
        <v>4.6999999999999993</v>
      </c>
      <c r="P310" s="223">
        <f t="shared" si="458"/>
        <v>1.6123943661971829</v>
      </c>
      <c r="Q310" s="223">
        <f t="shared" si="459"/>
        <v>5</v>
      </c>
      <c r="R310" s="223"/>
      <c r="S310" s="178">
        <f t="shared" si="460"/>
        <v>18.720445130922911</v>
      </c>
      <c r="T310" s="178">
        <f t="shared" si="461"/>
        <v>5</v>
      </c>
      <c r="U310" s="223">
        <f t="shared" si="462"/>
        <v>0.87447589098532486</v>
      </c>
      <c r="V310" s="223">
        <f t="shared" si="463"/>
        <v>0.5465474318658281</v>
      </c>
      <c r="W310" s="223">
        <f t="shared" si="464"/>
        <v>1.6499545112930658</v>
      </c>
      <c r="X310" s="203">
        <f t="shared" si="465"/>
        <v>350</v>
      </c>
      <c r="Y310" s="454">
        <f t="shared" si="451"/>
        <v>350</v>
      </c>
      <c r="AA310" s="223">
        <f t="shared" si="466"/>
        <v>1.1374916163648559</v>
      </c>
      <c r="AB310" s="179">
        <f t="shared" si="467"/>
        <v>2.1462105969148224</v>
      </c>
      <c r="AC310" s="179">
        <f t="shared" si="468"/>
        <v>1.2816806944956125</v>
      </c>
      <c r="AD310" s="179"/>
      <c r="AE310" s="179">
        <f t="shared" si="469"/>
        <v>0.5660377358490567</v>
      </c>
      <c r="AF310" s="563">
        <f t="shared" si="470"/>
        <v>3690.3703703703695</v>
      </c>
      <c r="AG310" s="546">
        <f t="shared" si="471"/>
        <v>8.9150943396226423E-2</v>
      </c>
      <c r="AI310" s="179">
        <f t="shared" si="472"/>
        <v>0.97414186900696387</v>
      </c>
      <c r="AJ310" s="179">
        <f t="shared" si="473"/>
        <v>0.97414186900696387</v>
      </c>
      <c r="AK310" s="179">
        <f t="shared" si="474"/>
        <v>1.6993643474125657</v>
      </c>
      <c r="AM310" s="563">
        <f t="shared" si="475"/>
        <v>940</v>
      </c>
      <c r="AN310" s="472">
        <f t="shared" si="476"/>
        <v>350</v>
      </c>
      <c r="AP310">
        <f t="shared" si="477"/>
        <v>940</v>
      </c>
      <c r="AQ310">
        <f t="shared" si="478"/>
        <v>350</v>
      </c>
      <c r="AS310" s="6">
        <f t="shared" si="450"/>
        <v>2.8571428571428572</v>
      </c>
      <c r="AT310" s="6">
        <f t="shared" si="479"/>
        <v>0.6088386681293525</v>
      </c>
      <c r="AU310" s="6">
        <f t="shared" si="483"/>
        <v>2.2483041890135045</v>
      </c>
      <c r="AV310" s="6"/>
      <c r="AW310" s="179">
        <f t="shared" si="484"/>
        <v>0.21309353384527338</v>
      </c>
      <c r="AX310" s="179"/>
      <c r="BA310" s="472">
        <f t="shared" si="485"/>
        <v>11.446166960831828</v>
      </c>
      <c r="BB310" s="6">
        <f t="shared" si="486"/>
        <v>0.20383930726009777</v>
      </c>
      <c r="CD310" s="581">
        <f t="shared" si="480"/>
        <v>-50</v>
      </c>
      <c r="CE310">
        <f t="shared" si="481"/>
        <v>-50</v>
      </c>
    </row>
    <row r="311" spans="5:83" x14ac:dyDescent="0.2">
      <c r="E311" s="176">
        <v>95</v>
      </c>
      <c r="F311" s="223">
        <f t="shared" si="482"/>
        <v>0.95</v>
      </c>
      <c r="G311" s="223"/>
      <c r="H311" s="223">
        <f t="shared" si="452"/>
        <v>4.75</v>
      </c>
      <c r="I311" s="559">
        <f t="shared" si="453"/>
        <v>48</v>
      </c>
      <c r="J311" s="454">
        <f t="shared" si="454"/>
        <v>15.899999999999999</v>
      </c>
      <c r="K311" s="454">
        <f t="shared" si="455"/>
        <v>63.9</v>
      </c>
      <c r="L311" s="454"/>
      <c r="M311" s="223">
        <f t="shared" si="456"/>
        <v>0.24882629107981219</v>
      </c>
      <c r="N311" s="178">
        <f t="shared" si="457"/>
        <v>8.0619718309859145</v>
      </c>
      <c r="O311" s="178">
        <f t="shared" si="449"/>
        <v>4.75</v>
      </c>
      <c r="P311" s="223">
        <f t="shared" si="458"/>
        <v>1.6123943661971829</v>
      </c>
      <c r="Q311" s="223">
        <f t="shared" si="459"/>
        <v>5</v>
      </c>
      <c r="R311" s="223"/>
      <c r="S311" s="178">
        <f t="shared" si="460"/>
        <v>18.362463923013479</v>
      </c>
      <c r="T311" s="178">
        <f t="shared" si="461"/>
        <v>5</v>
      </c>
      <c r="U311" s="223">
        <f t="shared" si="462"/>
        <v>0.88377882599580715</v>
      </c>
      <c r="V311" s="223">
        <f t="shared" si="463"/>
        <v>0.55236176624737943</v>
      </c>
      <c r="W311" s="223">
        <f t="shared" si="464"/>
        <v>1.6675072188600137</v>
      </c>
      <c r="X311" s="203">
        <f t="shared" si="465"/>
        <v>350</v>
      </c>
      <c r="Y311" s="454">
        <f t="shared" si="451"/>
        <v>350</v>
      </c>
      <c r="AA311" s="223">
        <f t="shared" si="466"/>
        <v>1.1374916163648559</v>
      </c>
      <c r="AB311" s="179">
        <f t="shared" si="467"/>
        <v>2.1462105969148224</v>
      </c>
      <c r="AC311" s="179">
        <f t="shared" si="468"/>
        <v>1.2816806944956125</v>
      </c>
      <c r="AD311" s="179"/>
      <c r="AE311" s="179">
        <f t="shared" si="469"/>
        <v>0.5660377358490567</v>
      </c>
      <c r="AF311" s="563">
        <f t="shared" si="470"/>
        <v>3729.6296296296287</v>
      </c>
      <c r="AG311" s="546">
        <f t="shared" si="471"/>
        <v>8.9150943396226423E-2</v>
      </c>
      <c r="AI311" s="179">
        <f t="shared" si="472"/>
        <v>0.97930976664568137</v>
      </c>
      <c r="AJ311" s="179">
        <f t="shared" si="473"/>
        <v>0.97930976664568137</v>
      </c>
      <c r="AK311" s="179">
        <f t="shared" si="474"/>
        <v>1.7031924197375417</v>
      </c>
      <c r="AM311" s="563">
        <f t="shared" si="475"/>
        <v>950</v>
      </c>
      <c r="AN311" s="472">
        <f t="shared" si="476"/>
        <v>350</v>
      </c>
      <c r="AP311">
        <f t="shared" si="477"/>
        <v>950</v>
      </c>
      <c r="AQ311">
        <f t="shared" si="478"/>
        <v>350</v>
      </c>
      <c r="AS311" s="6">
        <f t="shared" si="450"/>
        <v>2.8571428571428572</v>
      </c>
      <c r="AT311" s="6">
        <f t="shared" si="479"/>
        <v>0.6120686041535508</v>
      </c>
      <c r="AU311" s="6">
        <f t="shared" si="483"/>
        <v>2.2450742529893066</v>
      </c>
      <c r="AV311" s="6"/>
      <c r="AW311" s="179">
        <f t="shared" si="484"/>
        <v>0.21422401145374279</v>
      </c>
      <c r="AX311" s="179"/>
      <c r="BA311" s="472">
        <f t="shared" si="485"/>
        <v>11.629303478917466</v>
      </c>
      <c r="BB311" s="6">
        <f t="shared" si="486"/>
        <v>0.20571185767166678</v>
      </c>
      <c r="CD311" s="581">
        <f t="shared" si="480"/>
        <v>-50</v>
      </c>
      <c r="CE311">
        <f t="shared" si="481"/>
        <v>-50</v>
      </c>
    </row>
    <row r="312" spans="5:83" x14ac:dyDescent="0.2">
      <c r="E312" s="176">
        <v>96</v>
      </c>
      <c r="F312" s="223">
        <f t="shared" si="482"/>
        <v>0.96</v>
      </c>
      <c r="G312" s="223"/>
      <c r="H312" s="223">
        <f t="shared" ref="H312:H316" si="487">F312*Vout</f>
        <v>4.8</v>
      </c>
      <c r="I312" s="559">
        <f t="shared" si="453"/>
        <v>48</v>
      </c>
      <c r="J312" s="454">
        <f t="shared" si="454"/>
        <v>15.899999999999999</v>
      </c>
      <c r="K312" s="454">
        <f t="shared" si="455"/>
        <v>63.9</v>
      </c>
      <c r="L312" s="454"/>
      <c r="M312" s="223">
        <f t="shared" si="456"/>
        <v>0.24882629107981219</v>
      </c>
      <c r="N312" s="178">
        <f t="shared" ref="N312:N316" si="488">M312*I312*Isw_max*0.5*Efficiency</f>
        <v>8.0619718309859145</v>
      </c>
      <c r="O312" s="178">
        <f t="shared" si="449"/>
        <v>4.8</v>
      </c>
      <c r="P312" s="223">
        <f t="shared" ref="P312:P316" si="489">N312/Vout</f>
        <v>1.6123943661971829</v>
      </c>
      <c r="Q312" s="223">
        <f t="shared" si="459"/>
        <v>5</v>
      </c>
      <c r="R312" s="223"/>
      <c r="S312" s="178">
        <f t="shared" si="460"/>
        <v>18.012121459311278</v>
      </c>
      <c r="T312" s="178">
        <f t="shared" ref="T312:T316" si="490">MIN(Vout, S312)</f>
        <v>5</v>
      </c>
      <c r="U312" s="223">
        <f t="shared" si="462"/>
        <v>0.89308176100628933</v>
      </c>
      <c r="V312" s="223">
        <f t="shared" ref="V312:V316" si="491">L*U312/I312*1000000</f>
        <v>0.55817610062893086</v>
      </c>
      <c r="W312" s="223">
        <f t="shared" si="464"/>
        <v>1.6850599264269612</v>
      </c>
      <c r="X312" s="203">
        <f t="shared" si="465"/>
        <v>350</v>
      </c>
      <c r="Y312" s="454">
        <f t="shared" si="451"/>
        <v>350</v>
      </c>
      <c r="AA312" s="223">
        <f t="shared" si="466"/>
        <v>1.1374916163648559</v>
      </c>
      <c r="AB312" s="179">
        <f t="shared" ref="AB312:AB316" si="492">L*AA312/J312*1000000</f>
        <v>2.1462105969148224</v>
      </c>
      <c r="AC312" s="179">
        <f t="shared" ref="AC312:AC316" si="493">0.5*AB312*AA312*Nps*X312/1000</f>
        <v>1.2816806944956125</v>
      </c>
      <c r="AD312" s="179"/>
      <c r="AE312" s="179">
        <f t="shared" si="469"/>
        <v>0.5660377358490567</v>
      </c>
      <c r="AF312" s="563">
        <f t="shared" ref="AF312:AF316" si="494">MAX(10000,F312/(0.5*AE312/1000000*Isw_min*Nps))/1000</f>
        <v>3768.8888888888882</v>
      </c>
      <c r="AG312" s="546">
        <f t="shared" si="471"/>
        <v>8.9150943396226423E-2</v>
      </c>
      <c r="AI312" s="179">
        <f t="shared" si="472"/>
        <v>0.98445053565065266</v>
      </c>
      <c r="AJ312" s="179">
        <f t="shared" ref="AJ312:AJ316" si="495">MAX(IF(F312&gt;AC312,U312,AI312),Isw_min)</f>
        <v>0.98445053565065266</v>
      </c>
      <c r="AK312" s="179">
        <f t="shared" ref="AK312:AK316" si="496">IF(F312&gt;AG312, (AJ312-Isw_min)/1.08*0.8+1.2, AF312*0.2/350+1)</f>
        <v>1.7070003967782612</v>
      </c>
      <c r="AM312" s="563">
        <f t="shared" si="475"/>
        <v>960</v>
      </c>
      <c r="AN312" s="472">
        <f t="shared" si="476"/>
        <v>350</v>
      </c>
      <c r="AP312">
        <f t="shared" si="477"/>
        <v>960</v>
      </c>
      <c r="AQ312">
        <f t="shared" si="478"/>
        <v>350</v>
      </c>
      <c r="AS312" s="6">
        <f t="shared" si="450"/>
        <v>2.8571428571428572</v>
      </c>
      <c r="AT312" s="6">
        <f t="shared" si="479"/>
        <v>0.61528158478165795</v>
      </c>
      <c r="AU312" s="6">
        <f t="shared" si="483"/>
        <v>2.2418612723611995</v>
      </c>
      <c r="AV312" s="6"/>
      <c r="AW312" s="179">
        <f t="shared" si="484"/>
        <v>0.21534855467358027</v>
      </c>
      <c r="AX312" s="179"/>
      <c r="BA312" s="472">
        <f t="shared" si="485"/>
        <v>11.813406427807832</v>
      </c>
      <c r="BB312" s="6">
        <f t="shared" si="486"/>
        <v>0.20757974744085175</v>
      </c>
      <c r="CD312" s="581">
        <f t="shared" si="480"/>
        <v>-50</v>
      </c>
      <c r="CE312">
        <f t="shared" si="481"/>
        <v>-50</v>
      </c>
    </row>
    <row r="313" spans="5:83" x14ac:dyDescent="0.2">
      <c r="E313" s="176">
        <v>97</v>
      </c>
      <c r="F313" s="223">
        <f t="shared" ref="F313:F316" si="497">IF(PLOT_TYPE=1, E313/100*Iout_max, min_I*EXP(N313*rr/100))</f>
        <v>0.97</v>
      </c>
      <c r="G313" s="223"/>
      <c r="H313" s="223">
        <f t="shared" si="487"/>
        <v>4.8499999999999996</v>
      </c>
      <c r="I313" s="559">
        <f t="shared" si="453"/>
        <v>48</v>
      </c>
      <c r="J313" s="454">
        <f t="shared" si="454"/>
        <v>15.899999999999999</v>
      </c>
      <c r="K313" s="454">
        <f t="shared" si="455"/>
        <v>63.9</v>
      </c>
      <c r="L313" s="454"/>
      <c r="M313" s="223">
        <f t="shared" si="456"/>
        <v>0.24882629107981219</v>
      </c>
      <c r="N313" s="178">
        <f t="shared" si="488"/>
        <v>8.0619718309859145</v>
      </c>
      <c r="O313" s="178">
        <f t="shared" si="449"/>
        <v>4.8499999999999996</v>
      </c>
      <c r="P313" s="223">
        <f t="shared" si="489"/>
        <v>1.6123943661971829</v>
      </c>
      <c r="Q313" s="223">
        <f t="shared" si="459"/>
        <v>5</v>
      </c>
      <c r="R313" s="223"/>
      <c r="S313" s="178">
        <f t="shared" si="460"/>
        <v>17.66918581166394</v>
      </c>
      <c r="T313" s="178">
        <f t="shared" si="490"/>
        <v>5</v>
      </c>
      <c r="U313" s="223">
        <f t="shared" si="462"/>
        <v>0.9023846960167714</v>
      </c>
      <c r="V313" s="223">
        <f t="shared" si="491"/>
        <v>0.56399043501048207</v>
      </c>
      <c r="W313" s="223">
        <f t="shared" si="464"/>
        <v>1.7026126339939085</v>
      </c>
      <c r="X313" s="203">
        <f t="shared" si="465"/>
        <v>350</v>
      </c>
      <c r="Y313" s="454">
        <f t="shared" si="451"/>
        <v>350</v>
      </c>
      <c r="AA313" s="223">
        <f t="shared" si="466"/>
        <v>1.1374916163648559</v>
      </c>
      <c r="AB313" s="179">
        <f t="shared" si="492"/>
        <v>2.1462105969148224</v>
      </c>
      <c r="AC313" s="179">
        <f t="shared" si="493"/>
        <v>1.2816806944956125</v>
      </c>
      <c r="AD313" s="179"/>
      <c r="AE313" s="179">
        <f t="shared" si="469"/>
        <v>0.5660377358490567</v>
      </c>
      <c r="AF313" s="563">
        <f t="shared" si="494"/>
        <v>3808.1481481481474</v>
      </c>
      <c r="AG313" s="546">
        <f t="shared" si="471"/>
        <v>8.9150943396226423E-2</v>
      </c>
      <c r="AI313" s="179">
        <f t="shared" si="472"/>
        <v>0.98956459882015546</v>
      </c>
      <c r="AJ313" s="179">
        <f t="shared" si="495"/>
        <v>0.98956459882015546</v>
      </c>
      <c r="AK313" s="179">
        <f t="shared" si="496"/>
        <v>1.7107885917186336</v>
      </c>
      <c r="AM313" s="563">
        <f t="shared" si="475"/>
        <v>970</v>
      </c>
      <c r="AN313" s="472">
        <f t="shared" si="476"/>
        <v>350</v>
      </c>
      <c r="AP313">
        <f t="shared" si="477"/>
        <v>970</v>
      </c>
      <c r="AQ313">
        <f t="shared" si="478"/>
        <v>350</v>
      </c>
      <c r="AS313" s="6">
        <f t="shared" si="450"/>
        <v>2.8571428571428572</v>
      </c>
      <c r="AT313" s="6">
        <f t="shared" si="479"/>
        <v>0.61847787426259715</v>
      </c>
      <c r="AU313" s="6">
        <f t="shared" si="483"/>
        <v>2.2386649828802598</v>
      </c>
      <c r="AV313" s="6"/>
      <c r="AW313" s="179">
        <f t="shared" si="484"/>
        <v>0.216467255991909</v>
      </c>
      <c r="AX313" s="179"/>
      <c r="BA313" s="472">
        <f t="shared" si="485"/>
        <v>11.998470760694385</v>
      </c>
      <c r="BB313" s="6">
        <f t="shared" si="486"/>
        <v>0.20944300090604276</v>
      </c>
      <c r="CD313" s="581">
        <f t="shared" si="480"/>
        <v>-50</v>
      </c>
      <c r="CE313">
        <f t="shared" si="481"/>
        <v>-50</v>
      </c>
    </row>
    <row r="314" spans="5:83" x14ac:dyDescent="0.2">
      <c r="E314" s="176">
        <v>98</v>
      </c>
      <c r="F314" s="223">
        <f t="shared" si="497"/>
        <v>0.98</v>
      </c>
      <c r="G314" s="223"/>
      <c r="H314" s="223">
        <f t="shared" si="487"/>
        <v>4.9000000000000004</v>
      </c>
      <c r="I314" s="559">
        <f t="shared" si="453"/>
        <v>48</v>
      </c>
      <c r="J314" s="454">
        <f t="shared" si="454"/>
        <v>15.899999999999999</v>
      </c>
      <c r="K314" s="454">
        <f t="shared" si="455"/>
        <v>63.9</v>
      </c>
      <c r="L314" s="454"/>
      <c r="M314" s="223">
        <f t="shared" si="456"/>
        <v>0.24882629107981219</v>
      </c>
      <c r="N314" s="178">
        <f t="shared" si="488"/>
        <v>8.0619718309859145</v>
      </c>
      <c r="O314" s="178">
        <f t="shared" si="449"/>
        <v>4.9000000000000004</v>
      </c>
      <c r="P314" s="223">
        <f t="shared" si="489"/>
        <v>1.6123943661971829</v>
      </c>
      <c r="Q314" s="223">
        <f t="shared" si="459"/>
        <v>5</v>
      </c>
      <c r="R314" s="223"/>
      <c r="S314" s="178">
        <f t="shared" si="460"/>
        <v>17.333434646033389</v>
      </c>
      <c r="T314" s="178">
        <f t="shared" si="490"/>
        <v>5</v>
      </c>
      <c r="U314" s="223">
        <f t="shared" si="462"/>
        <v>0.9116876310272537</v>
      </c>
      <c r="V314" s="223">
        <f t="shared" si="491"/>
        <v>0.56980476939203362</v>
      </c>
      <c r="W314" s="223">
        <f t="shared" si="464"/>
        <v>1.7201653415608562</v>
      </c>
      <c r="X314" s="203">
        <f t="shared" si="465"/>
        <v>350</v>
      </c>
      <c r="Y314" s="454">
        <f t="shared" si="451"/>
        <v>350</v>
      </c>
      <c r="AA314" s="223">
        <f t="shared" si="466"/>
        <v>1.1374916163648559</v>
      </c>
      <c r="AB314" s="179">
        <f t="shared" si="492"/>
        <v>2.1462105969148224</v>
      </c>
      <c r="AC314" s="179">
        <f t="shared" si="493"/>
        <v>1.2816806944956125</v>
      </c>
      <c r="AD314" s="179"/>
      <c r="AE314" s="179">
        <f t="shared" si="469"/>
        <v>0.5660377358490567</v>
      </c>
      <c r="AF314" s="563">
        <f t="shared" si="494"/>
        <v>3847.4074074074069</v>
      </c>
      <c r="AG314" s="546">
        <f t="shared" si="471"/>
        <v>8.9150943396226423E-2</v>
      </c>
      <c r="AI314" s="179">
        <f t="shared" si="472"/>
        <v>0.99465236808310731</v>
      </c>
      <c r="AJ314" s="179">
        <f t="shared" si="495"/>
        <v>0.99465236808310731</v>
      </c>
      <c r="AK314" s="179">
        <f t="shared" si="496"/>
        <v>1.7145573096911906</v>
      </c>
      <c r="AM314" s="563">
        <f t="shared" si="475"/>
        <v>980</v>
      </c>
      <c r="AN314" s="472">
        <f t="shared" si="476"/>
        <v>350</v>
      </c>
      <c r="AP314">
        <f t="shared" si="477"/>
        <v>980</v>
      </c>
      <c r="AQ314">
        <f t="shared" si="478"/>
        <v>350</v>
      </c>
      <c r="AS314" s="6">
        <f t="shared" si="450"/>
        <v>2.8571428571428572</v>
      </c>
      <c r="AT314" s="6">
        <f t="shared" si="479"/>
        <v>0.62165773005194203</v>
      </c>
      <c r="AU314" s="6">
        <f t="shared" si="483"/>
        <v>2.2354851270909153</v>
      </c>
      <c r="AV314" s="6"/>
      <c r="AW314" s="179">
        <f t="shared" si="484"/>
        <v>0.21758020551817969</v>
      </c>
      <c r="AX314" s="179"/>
      <c r="BA314" s="472">
        <f t="shared" si="485"/>
        <v>12.184491509018063</v>
      </c>
      <c r="BB314" s="6">
        <f t="shared" si="486"/>
        <v>0.21130164202826934</v>
      </c>
      <c r="CD314" s="581">
        <f t="shared" si="480"/>
        <v>-50</v>
      </c>
      <c r="CE314">
        <f t="shared" si="481"/>
        <v>-50</v>
      </c>
    </row>
    <row r="315" spans="5:83" x14ac:dyDescent="0.2">
      <c r="E315" s="176">
        <v>99</v>
      </c>
      <c r="F315" s="223">
        <f t="shared" si="497"/>
        <v>0.99</v>
      </c>
      <c r="G315" s="223"/>
      <c r="H315" s="223">
        <f t="shared" si="487"/>
        <v>4.95</v>
      </c>
      <c r="I315" s="559">
        <f t="shared" si="453"/>
        <v>48</v>
      </c>
      <c r="J315" s="454">
        <f t="shared" si="454"/>
        <v>15.899999999999999</v>
      </c>
      <c r="K315" s="454">
        <f t="shared" si="455"/>
        <v>63.9</v>
      </c>
      <c r="L315" s="454"/>
      <c r="M315" s="223">
        <f t="shared" si="456"/>
        <v>0.24882629107981219</v>
      </c>
      <c r="N315" s="178">
        <f t="shared" si="488"/>
        <v>8.0619718309859145</v>
      </c>
      <c r="O315" s="178">
        <f t="shared" si="449"/>
        <v>4.95</v>
      </c>
      <c r="P315" s="223">
        <f t="shared" si="489"/>
        <v>1.6123943661971829</v>
      </c>
      <c r="Q315" s="223">
        <f t="shared" si="459"/>
        <v>5</v>
      </c>
      <c r="R315" s="223"/>
      <c r="S315" s="178">
        <f t="shared" si="460"/>
        <v>17.004654742199307</v>
      </c>
      <c r="T315" s="178">
        <f t="shared" si="490"/>
        <v>5</v>
      </c>
      <c r="U315" s="223">
        <f t="shared" si="462"/>
        <v>0.92099056603773588</v>
      </c>
      <c r="V315" s="223">
        <f t="shared" si="491"/>
        <v>0.57561910377358494</v>
      </c>
      <c r="W315" s="223">
        <f t="shared" si="464"/>
        <v>1.7377180491278037</v>
      </c>
      <c r="X315" s="203">
        <f t="shared" si="465"/>
        <v>350</v>
      </c>
      <c r="Y315" s="454">
        <f t="shared" si="451"/>
        <v>350</v>
      </c>
      <c r="AA315" s="223">
        <f t="shared" si="466"/>
        <v>1.1374916163648559</v>
      </c>
      <c r="AB315" s="179">
        <f t="shared" si="492"/>
        <v>2.1462105969148224</v>
      </c>
      <c r="AC315" s="179">
        <f t="shared" si="493"/>
        <v>1.2816806944956125</v>
      </c>
      <c r="AD315" s="179"/>
      <c r="AE315" s="179">
        <f t="shared" si="469"/>
        <v>0.5660377358490567</v>
      </c>
      <c r="AF315" s="563">
        <f t="shared" si="494"/>
        <v>3886.6666666666661</v>
      </c>
      <c r="AG315" s="546">
        <f t="shared" si="471"/>
        <v>8.9150943396226423E-2</v>
      </c>
      <c r="AI315" s="179">
        <f t="shared" si="472"/>
        <v>0.99971424488629312</v>
      </c>
      <c r="AJ315" s="179">
        <f t="shared" si="495"/>
        <v>0.99971424488629312</v>
      </c>
      <c r="AK315" s="179">
        <f t="shared" si="496"/>
        <v>1.718306848063921</v>
      </c>
      <c r="AM315" s="563">
        <f t="shared" si="475"/>
        <v>990</v>
      </c>
      <c r="AN315" s="472">
        <f t="shared" si="476"/>
        <v>350</v>
      </c>
      <c r="AP315">
        <f t="shared" si="477"/>
        <v>990</v>
      </c>
      <c r="AQ315">
        <f t="shared" si="478"/>
        <v>350</v>
      </c>
      <c r="AS315" s="6">
        <f t="shared" si="450"/>
        <v>2.8571428571428572</v>
      </c>
      <c r="AT315" s="6">
        <f t="shared" si="479"/>
        <v>0.62482140305393319</v>
      </c>
      <c r="AU315" s="6">
        <f t="shared" si="483"/>
        <v>2.232321454088924</v>
      </c>
      <c r="AV315" s="6"/>
      <c r="AW315" s="179">
        <f t="shared" si="484"/>
        <v>0.21868749106887661</v>
      </c>
      <c r="AX315" s="179"/>
      <c r="BA315" s="472">
        <f t="shared" si="485"/>
        <v>12.371463780467877</v>
      </c>
      <c r="BB315" s="6">
        <f t="shared" si="486"/>
        <v>0.21315569440085208</v>
      </c>
      <c r="CD315" s="581">
        <f t="shared" si="480"/>
        <v>-50</v>
      </c>
      <c r="CE315">
        <f t="shared" si="481"/>
        <v>-50</v>
      </c>
    </row>
    <row r="316" spans="5:83" x14ac:dyDescent="0.2">
      <c r="E316" s="176">
        <v>100</v>
      </c>
      <c r="F316" s="223">
        <f t="shared" si="497"/>
        <v>1</v>
      </c>
      <c r="G316" s="223"/>
      <c r="H316" s="223">
        <f t="shared" si="487"/>
        <v>5</v>
      </c>
      <c r="I316" s="559">
        <f t="shared" si="453"/>
        <v>48</v>
      </c>
      <c r="J316" s="454">
        <f t="shared" si="454"/>
        <v>15.899999999999999</v>
      </c>
      <c r="K316" s="454">
        <f t="shared" si="455"/>
        <v>63.9</v>
      </c>
      <c r="L316" s="454"/>
      <c r="M316" s="223">
        <f t="shared" si="456"/>
        <v>0.24882629107981219</v>
      </c>
      <c r="N316" s="178">
        <f t="shared" si="488"/>
        <v>8.0619718309859145</v>
      </c>
      <c r="O316" s="178">
        <f t="shared" si="449"/>
        <v>5</v>
      </c>
      <c r="P316" s="223">
        <f t="shared" si="489"/>
        <v>1.6123943661971829</v>
      </c>
      <c r="Q316" s="223">
        <f t="shared" si="459"/>
        <v>5</v>
      </c>
      <c r="R316" s="223"/>
      <c r="S316" s="178">
        <f t="shared" si="460"/>
        <v>16.682641542424893</v>
      </c>
      <c r="T316" s="178">
        <f t="shared" si="490"/>
        <v>5</v>
      </c>
      <c r="U316" s="223">
        <f t="shared" si="462"/>
        <v>0.93029350104821806</v>
      </c>
      <c r="V316" s="223">
        <f t="shared" si="491"/>
        <v>0.58143343815513637</v>
      </c>
      <c r="W316" s="223">
        <f t="shared" si="464"/>
        <v>1.7552707566947512</v>
      </c>
      <c r="X316" s="203">
        <f t="shared" si="465"/>
        <v>350</v>
      </c>
      <c r="Y316" s="454">
        <f t="shared" si="451"/>
        <v>350</v>
      </c>
      <c r="AA316" s="223">
        <f t="shared" si="466"/>
        <v>1.1374916163648559</v>
      </c>
      <c r="AB316" s="179">
        <f t="shared" si="492"/>
        <v>2.1462105969148224</v>
      </c>
      <c r="AC316" s="179">
        <f t="shared" si="493"/>
        <v>1.2816806944956125</v>
      </c>
      <c r="AD316" s="179"/>
      <c r="AE316" s="179">
        <f t="shared" si="469"/>
        <v>0.5660377358490567</v>
      </c>
      <c r="AF316" s="563">
        <f t="shared" si="494"/>
        <v>3925.9259259259252</v>
      </c>
      <c r="AG316" s="546">
        <f t="shared" si="471"/>
        <v>8.9150943396226423E-2</v>
      </c>
      <c r="AI316" s="179">
        <f t="shared" si="472"/>
        <v>1.0047506205640331</v>
      </c>
      <c r="AJ316" s="179">
        <f t="shared" si="495"/>
        <v>1.0047506205640331</v>
      </c>
      <c r="AK316" s="179">
        <f t="shared" si="496"/>
        <v>1.7220374967140986</v>
      </c>
      <c r="AM316" s="563">
        <f t="shared" si="475"/>
        <v>1000</v>
      </c>
      <c r="AN316" s="472">
        <f t="shared" si="476"/>
        <v>350</v>
      </c>
      <c r="AP316">
        <f t="shared" si="477"/>
        <v>1000</v>
      </c>
      <c r="AQ316">
        <f t="shared" si="478"/>
        <v>350</v>
      </c>
      <c r="AS316" s="6">
        <f t="shared" si="450"/>
        <v>2.8571428571428572</v>
      </c>
      <c r="AT316" s="6">
        <f t="shared" si="479"/>
        <v>0.62796913785252073</v>
      </c>
      <c r="AU316" s="6">
        <f t="shared" si="483"/>
        <v>2.2291737192903365</v>
      </c>
      <c r="AV316" s="6"/>
      <c r="AW316" s="179">
        <f t="shared" si="484"/>
        <v>0.21978919824838225</v>
      </c>
      <c r="AX316" s="179"/>
      <c r="BA316" s="472">
        <f t="shared" si="485"/>
        <v>12.559382757050415</v>
      </c>
      <c r="BB316" s="6">
        <f t="shared" si="486"/>
        <v>0.21500518125871299</v>
      </c>
      <c r="CD316" s="581">
        <f t="shared" si="480"/>
        <v>-50</v>
      </c>
      <c r="CE316">
        <f t="shared" si="481"/>
        <v>-50</v>
      </c>
    </row>
    <row r="317" spans="5:83" x14ac:dyDescent="0.2">
      <c r="E317" s="176"/>
      <c r="F317" s="223"/>
      <c r="G317" s="223"/>
      <c r="CD317" s="581"/>
    </row>
    <row r="318" spans="5:83" x14ac:dyDescent="0.2">
      <c r="CD318" s="581"/>
    </row>
    <row r="319" spans="5:83" x14ac:dyDescent="0.2">
      <c r="CD319" s="581"/>
    </row>
    <row r="320" spans="5:83" x14ac:dyDescent="0.2">
      <c r="CD320" s="581"/>
    </row>
    <row r="321" spans="82:82" x14ac:dyDescent="0.2">
      <c r="CD321" s="581"/>
    </row>
  </sheetData>
  <mergeCells count="1">
    <mergeCell ref="M3:AA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sheetPr>
  <dimension ref="B1:CE317"/>
  <sheetViews>
    <sheetView topLeftCell="A76" zoomScaleNormal="100" workbookViewId="0">
      <selection activeCell="O111" sqref="O111"/>
    </sheetView>
  </sheetViews>
  <sheetFormatPr defaultRowHeight="12.75" x14ac:dyDescent="0.2"/>
  <cols>
    <col min="1" max="1" width="2.85546875" customWidth="1"/>
    <col min="2" max="2" width="3.5703125" customWidth="1"/>
    <col min="3" max="3" width="2.85546875" customWidth="1"/>
    <col min="4" max="4" width="3.7109375" customWidth="1"/>
    <col min="5" max="5" width="6.140625" customWidth="1"/>
    <col min="6" max="7" width="7.7109375" customWidth="1"/>
    <col min="8" max="9" width="7.85546875" customWidth="1"/>
    <col min="10" max="10" width="6.28515625" customWidth="1"/>
    <col min="11" max="11" width="9.5703125" customWidth="1"/>
    <col min="12" max="12" width="9.28515625" customWidth="1"/>
    <col min="13" max="13" width="1.85546875" customWidth="1"/>
    <col min="14" max="14" width="8.42578125" customWidth="1"/>
    <col min="15" max="16" width="9.5703125" customWidth="1"/>
    <col min="17" max="18" width="8.85546875" customWidth="1"/>
    <col min="19" max="19" width="8.5703125" customWidth="1"/>
    <col min="20" max="20" width="7.5703125" customWidth="1"/>
    <col min="21" max="21" width="9" customWidth="1"/>
    <col min="22" max="22" width="8.85546875" customWidth="1"/>
    <col min="23" max="23" width="10" customWidth="1"/>
    <col min="24" max="24" width="9.5703125" customWidth="1"/>
    <col min="25" max="25" width="1.85546875" customWidth="1"/>
    <col min="26" max="26" width="9.85546875" customWidth="1"/>
    <col min="27" max="27" width="10.42578125" customWidth="1"/>
    <col min="28" max="28" width="10.140625" customWidth="1"/>
    <col min="29" max="29" width="2" customWidth="1"/>
    <col min="30" max="30" width="9.140625" customWidth="1"/>
    <col min="31" max="31" width="9.42578125" customWidth="1"/>
    <col min="32" max="32" width="10.42578125" customWidth="1"/>
    <col min="33" max="33" width="2.140625" customWidth="1"/>
    <col min="35" max="35" width="8" customWidth="1"/>
    <col min="37" max="37" width="2.28515625" customWidth="1"/>
    <col min="38" max="38" width="6.5703125" customWidth="1"/>
    <col min="39" max="39" width="7.5703125" customWidth="1"/>
    <col min="40" max="40" width="2" customWidth="1"/>
    <col min="41" max="41" width="6.42578125" customWidth="1"/>
    <col min="42" max="42" width="7.5703125" customWidth="1"/>
    <col min="43" max="43" width="2.140625" customWidth="1"/>
    <col min="44" max="46" width="7" customWidth="1"/>
    <col min="47" max="47" width="8.42578125" customWidth="1"/>
    <col min="48" max="48" width="2.140625" customWidth="1"/>
    <col min="49" max="50" width="9.42578125" customWidth="1"/>
    <col min="51" max="51" width="9.85546875" customWidth="1"/>
    <col min="52" max="52" width="2" customWidth="1"/>
    <col min="56" max="56" width="2.140625" customWidth="1"/>
    <col min="57" max="57" width="9" customWidth="1"/>
    <col min="58" max="59" width="8.140625" customWidth="1"/>
    <col min="60" max="60" width="8.7109375" customWidth="1"/>
    <col min="61" max="63" width="7.5703125" customWidth="1"/>
    <col min="64" max="65" width="10.28515625" customWidth="1"/>
    <col min="66" max="66" width="9.42578125" customWidth="1"/>
    <col min="67" max="67" width="9.5703125" customWidth="1"/>
    <col min="68" max="68" width="10" customWidth="1"/>
    <col min="69" max="69" width="8.7109375" customWidth="1"/>
    <col min="72" max="73" width="9.85546875" customWidth="1"/>
    <col min="74" max="74" width="12.140625" customWidth="1"/>
    <col min="75" max="75" width="9.140625" customWidth="1"/>
    <col min="77" max="77" width="7.7109375" customWidth="1"/>
    <col min="78" max="78" width="10.42578125" customWidth="1"/>
    <col min="79" max="79" width="12.42578125" bestFit="1" customWidth="1"/>
    <col min="80" max="80" width="6.5703125" customWidth="1"/>
    <col min="81" max="81" width="5" customWidth="1"/>
    <col min="82" max="82" width="9.5703125" customWidth="1"/>
  </cols>
  <sheetData>
    <row r="1" spans="2:83" x14ac:dyDescent="0.2">
      <c r="B1" s="456" t="s">
        <v>532</v>
      </c>
    </row>
    <row r="2" spans="2:83" ht="13.5" thickBot="1" x14ac:dyDescent="0.25">
      <c r="AW2">
        <f>Vout_ripple</f>
        <v>50</v>
      </c>
    </row>
    <row r="3" spans="2:83" x14ac:dyDescent="0.2">
      <c r="E3" s="226" t="s">
        <v>434</v>
      </c>
      <c r="F3" s="558"/>
      <c r="G3" s="558"/>
      <c r="H3" s="558"/>
      <c r="I3" s="558"/>
      <c r="J3" s="227"/>
      <c r="K3" s="228"/>
      <c r="L3" s="542"/>
      <c r="M3" s="542"/>
      <c r="N3" s="691" t="s">
        <v>190</v>
      </c>
      <c r="O3" s="692"/>
      <c r="P3" s="693"/>
      <c r="Q3" s="691"/>
      <c r="R3" s="693"/>
      <c r="S3" s="691"/>
      <c r="T3" s="691"/>
      <c r="U3" s="692"/>
      <c r="V3" s="692"/>
      <c r="W3" s="691"/>
      <c r="X3" s="692"/>
      <c r="Y3" s="691"/>
      <c r="Z3" s="694"/>
      <c r="AA3" s="551"/>
      <c r="AB3" s="551"/>
      <c r="AC3" s="551"/>
      <c r="AD3" s="551"/>
      <c r="AE3" s="551"/>
      <c r="AF3" s="551"/>
      <c r="AG3" s="551"/>
      <c r="AH3" s="551"/>
      <c r="AI3" s="551"/>
      <c r="AJ3" s="551"/>
      <c r="AK3" s="551"/>
      <c r="AL3" s="551"/>
      <c r="AM3" s="551"/>
      <c r="AN3" s="551"/>
      <c r="AO3" s="551"/>
      <c r="AP3" s="551"/>
      <c r="AQ3" s="551"/>
      <c r="AR3" s="551" t="s">
        <v>473</v>
      </c>
      <c r="AS3" s="551"/>
      <c r="AT3" s="551"/>
      <c r="AU3" s="551"/>
      <c r="AV3" s="551"/>
      <c r="AW3" s="551" t="s">
        <v>483</v>
      </c>
      <c r="AX3" s="551" t="s">
        <v>483</v>
      </c>
      <c r="AY3" s="551"/>
      <c r="AZ3" s="551"/>
      <c r="BA3" s="577" t="s">
        <v>484</v>
      </c>
      <c r="BB3" s="551"/>
      <c r="BC3" s="551"/>
      <c r="BD3" s="551"/>
      <c r="BE3" s="577" t="s">
        <v>508</v>
      </c>
      <c r="BF3" s="551"/>
      <c r="BG3" s="551"/>
      <c r="BH3" s="551"/>
      <c r="BI3" s="551"/>
      <c r="BJ3" s="551"/>
      <c r="BK3" s="551"/>
      <c r="BL3" s="577" t="s">
        <v>504</v>
      </c>
      <c r="BM3" s="551"/>
      <c r="BN3" s="551"/>
      <c r="BO3" s="551"/>
      <c r="BP3" s="551"/>
      <c r="BQ3" s="578" t="s">
        <v>505</v>
      </c>
      <c r="BR3" s="551"/>
      <c r="BS3" s="551"/>
      <c r="BT3" s="551"/>
      <c r="BU3" s="551"/>
      <c r="BV3" s="551"/>
      <c r="BW3" s="551"/>
      <c r="BX3" s="577"/>
      <c r="BY3" s="551"/>
      <c r="BZ3" s="551"/>
      <c r="CA3" s="551"/>
      <c r="CB3" s="551"/>
    </row>
    <row r="4" spans="2:83" ht="45" customHeight="1" thickBot="1" x14ac:dyDescent="0.25">
      <c r="E4" s="247" t="s">
        <v>25</v>
      </c>
      <c r="F4" s="624" t="s">
        <v>603</v>
      </c>
      <c r="G4" s="455" t="s">
        <v>602</v>
      </c>
      <c r="H4" s="625" t="s">
        <v>604</v>
      </c>
      <c r="I4" s="626" t="s">
        <v>605</v>
      </c>
      <c r="J4" s="248" t="s">
        <v>425</v>
      </c>
      <c r="K4" s="249" t="s">
        <v>609</v>
      </c>
      <c r="L4" s="627" t="s">
        <v>426</v>
      </c>
      <c r="M4" s="628"/>
      <c r="N4" s="250" t="s">
        <v>48</v>
      </c>
      <c r="O4" s="628" t="s">
        <v>613</v>
      </c>
      <c r="P4" s="628" t="s">
        <v>629</v>
      </c>
      <c r="Q4" s="628" t="s">
        <v>606</v>
      </c>
      <c r="R4" s="628" t="s">
        <v>607</v>
      </c>
      <c r="S4" s="628" t="s">
        <v>608</v>
      </c>
      <c r="T4" s="628" t="s">
        <v>427</v>
      </c>
      <c r="U4" s="628" t="s">
        <v>479</v>
      </c>
      <c r="V4" s="628" t="s">
        <v>478</v>
      </c>
      <c r="W4" s="629" t="s">
        <v>433</v>
      </c>
      <c r="X4" s="630" t="s">
        <v>438</v>
      </c>
      <c r="Z4" s="251" t="s">
        <v>430</v>
      </c>
      <c r="AA4" s="251" t="s">
        <v>477</v>
      </c>
      <c r="AB4" s="251" t="s">
        <v>610</v>
      </c>
      <c r="AC4" s="562"/>
      <c r="AD4" s="251" t="s">
        <v>476</v>
      </c>
      <c r="AE4" s="629" t="s">
        <v>439</v>
      </c>
      <c r="AF4" s="251" t="s">
        <v>611</v>
      </c>
      <c r="AG4" s="562"/>
      <c r="AH4" s="251" t="s">
        <v>442</v>
      </c>
      <c r="AI4" s="566" t="s">
        <v>443</v>
      </c>
      <c r="AJ4" s="566" t="s">
        <v>444</v>
      </c>
      <c r="AL4" s="561" t="s">
        <v>276</v>
      </c>
      <c r="AM4" s="561" t="s">
        <v>445</v>
      </c>
      <c r="AO4" s="251" t="s">
        <v>276</v>
      </c>
      <c r="AP4" s="251" t="s">
        <v>445</v>
      </c>
      <c r="AQ4" s="567"/>
      <c r="AR4" s="251" t="s">
        <v>480</v>
      </c>
      <c r="AS4" s="251" t="s">
        <v>474</v>
      </c>
      <c r="AT4" s="251" t="s">
        <v>475</v>
      </c>
      <c r="AU4" s="251" t="s">
        <v>48</v>
      </c>
      <c r="AV4" s="562"/>
      <c r="AW4" s="251" t="s">
        <v>614</v>
      </c>
      <c r="AX4" s="251" t="s">
        <v>615</v>
      </c>
      <c r="AY4" s="251" t="s">
        <v>531</v>
      </c>
      <c r="AZ4" s="562"/>
      <c r="BA4" s="576" t="s">
        <v>469</v>
      </c>
      <c r="BB4" s="251" t="s">
        <v>622</v>
      </c>
      <c r="BC4" s="251" t="s">
        <v>621</v>
      </c>
      <c r="BD4" s="562"/>
      <c r="BE4" s="576" t="s">
        <v>487</v>
      </c>
      <c r="BF4" s="251" t="s">
        <v>488</v>
      </c>
      <c r="BG4" s="251" t="s">
        <v>486</v>
      </c>
      <c r="BH4" s="251" t="s">
        <v>482</v>
      </c>
      <c r="BI4" s="251" t="s">
        <v>491</v>
      </c>
      <c r="BJ4" s="251" t="s">
        <v>701</v>
      </c>
      <c r="BK4" s="251" t="s">
        <v>506</v>
      </c>
      <c r="BL4" s="576" t="s">
        <v>624</v>
      </c>
      <c r="BM4" s="251" t="s">
        <v>623</v>
      </c>
      <c r="BN4" s="251" t="s">
        <v>490</v>
      </c>
      <c r="BO4" s="251" t="s">
        <v>498</v>
      </c>
      <c r="BP4" s="251" t="s">
        <v>502</v>
      </c>
      <c r="BQ4" s="576" t="s">
        <v>471</v>
      </c>
      <c r="BR4" s="251" t="s">
        <v>626</v>
      </c>
      <c r="BS4" s="251" t="s">
        <v>625</v>
      </c>
      <c r="BT4" s="251" t="s">
        <v>481</v>
      </c>
      <c r="BU4" s="251" t="s">
        <v>707</v>
      </c>
      <c r="BV4" s="251" t="s">
        <v>499</v>
      </c>
      <c r="BW4" s="251" t="s">
        <v>501</v>
      </c>
      <c r="BX4" s="576" t="s">
        <v>497</v>
      </c>
      <c r="BY4" s="251" t="s">
        <v>224</v>
      </c>
      <c r="BZ4" s="251" t="s">
        <v>47</v>
      </c>
      <c r="CA4" s="251" t="s">
        <v>500</v>
      </c>
      <c r="CB4" s="251" t="s">
        <v>627</v>
      </c>
      <c r="CD4" s="589" t="s">
        <v>513</v>
      </c>
    </row>
    <row r="5" spans="2:83" x14ac:dyDescent="0.2">
      <c r="E5" s="176">
        <v>0.1</v>
      </c>
      <c r="F5" s="223">
        <v>1.0000000000000001E-9</v>
      </c>
      <c r="G5" s="223">
        <v>1.0000000000000001E-9</v>
      </c>
      <c r="H5" s="223">
        <f t="shared" ref="H5:H36" si="0">F5*Vout</f>
        <v>5.0000000000000001E-9</v>
      </c>
      <c r="I5" s="223">
        <f>G5*Vout2</f>
        <v>3.3000000000000002E-9</v>
      </c>
      <c r="J5" s="559">
        <f t="shared" ref="J5:J68" si="1">Vin</f>
        <v>24</v>
      </c>
      <c r="K5" s="454">
        <f t="shared" ref="K5:K68" si="2">(S5+Vfwd1)*Nps</f>
        <v>15.899999999999999</v>
      </c>
      <c r="L5" s="454">
        <f t="shared" ref="L5:L68" si="3">(Vout+Vfwd1)*Nps+J5</f>
        <v>39.9</v>
      </c>
      <c r="M5" s="454"/>
      <c r="N5" s="223">
        <f t="shared" ref="N5:N68" si="4">(Vout+Vfwd1)*Nps/((Vout+Vfwd1)*Nps+J5)</f>
        <v>0.39849624060150374</v>
      </c>
      <c r="O5" s="178">
        <f>N5*J5*Isw_max*0.5*Efficiency*(Pout/Pout_total)</f>
        <v>6.4556390977443598</v>
      </c>
      <c r="P5" s="178">
        <f t="shared" ref="P5:P36" si="5">N5*J5*Isw_max*0.5*Efficiency*(Pout2/Pout_total)</f>
        <v>2.1303609022556387</v>
      </c>
      <c r="Q5" s="223">
        <f t="shared" ref="Q5:Q68" si="6">O5/Vout</f>
        <v>1.291127819548872</v>
      </c>
      <c r="R5" s="223">
        <f t="shared" ref="R5:R36" si="7">O5/Vout2</f>
        <v>1.9562542720437455</v>
      </c>
      <c r="S5" s="454">
        <f t="shared" ref="S5:S36" si="8">MIN(Vout,O5/F5)</f>
        <v>5</v>
      </c>
      <c r="T5" s="223">
        <f t="shared" ref="T5:T36" si="9">MIN(2*(Vout*F5+Vout2*G5)/(Efficiency*J5*N5), Isw_max)</f>
        <v>1.9285464709993009E-9</v>
      </c>
      <c r="U5" s="223">
        <f t="shared" ref="U5:U68" si="10">L*T5/J5*1000000</f>
        <v>2.4106830887491264E-9</v>
      </c>
      <c r="V5" s="223">
        <f t="shared" ref="V5:V68" si="11">L*T5/K5*1000000</f>
        <v>3.6387669264137754E-9</v>
      </c>
      <c r="W5" s="203">
        <f t="shared" ref="W5:W68" si="12">IF(1/((350000*L)*(1/J5+1/K5))&gt;Isw_min, 350, 0.001/((Isw_min*L)*(1/J5+1/K5)))</f>
        <v>350</v>
      </c>
      <c r="X5" s="454">
        <f>MIN(1/(U5+V5)*1000, 350)</f>
        <v>350</v>
      </c>
      <c r="Z5" s="223">
        <f t="shared" ref="Z5:Z68" si="13">1/((W5*1000*L)*(1/J5+1/K5))</f>
        <v>0.91084854994629427</v>
      </c>
      <c r="AA5" s="179">
        <f t="shared" ref="AA5:AA68" si="14">L*Z5/K5*1000000</f>
        <v>1.7185821697099894</v>
      </c>
      <c r="AB5" s="179">
        <f t="shared" ref="AB5:AB36" si="15">0.5*AA5*Z5*Nps*W5/1000*(Pout/Pout_total)</f>
        <v>0.82181824055304764</v>
      </c>
      <c r="AC5" s="179"/>
      <c r="AD5" s="179">
        <f t="shared" ref="AD5:AD68" si="16">L*Isw_min/K5*1000000</f>
        <v>0.5660377358490567</v>
      </c>
      <c r="AE5" s="563">
        <f t="shared" ref="AE5:AE36" si="17">MAX(10, F5/(0.5*AD5/1000000*Isw_min*Nps)/1000*Pout_total/Pout)</f>
        <v>10</v>
      </c>
      <c r="AF5" s="546">
        <f t="shared" ref="AF5:AF36" si="18">0.5*AD5/1000000*Isw_min*Nps*W5*1000*(Pout/Pout_total)</f>
        <v>8.9150943396226423E-2</v>
      </c>
      <c r="AH5" s="179">
        <f t="shared" ref="AH5:AH36" si="19">SQRT((H5+I5)/(0.5*L*Fsw_DCM))</f>
        <v>3.9761191895520193E-5</v>
      </c>
      <c r="AI5" s="179">
        <f t="shared" ref="AI5:AI36" si="20">MAX(IF(F5&gt;AB5,T5,AH5),Isw_min)</f>
        <v>0.3</v>
      </c>
      <c r="AJ5" s="179">
        <f t="shared" ref="AJ5:AJ36" si="21">IF(F5&gt;AF5, (AI5-Isw_min)/1.08*0.8+1.2, AE5*0.2/350+1)</f>
        <v>1.0057142857142858</v>
      </c>
      <c r="AL5" s="563">
        <f t="shared" ref="AL5:AL36" si="22">F5*1000</f>
        <v>1.0000000000000002E-6</v>
      </c>
      <c r="AM5" s="472">
        <f t="shared" ref="AM5:AM36" si="23">IF(F5&gt;AF5, X5, AE5)</f>
        <v>10</v>
      </c>
      <c r="AO5">
        <f>IF(H5&gt;O5, "",AL5)</f>
        <v>1.0000000000000002E-6</v>
      </c>
      <c r="AP5" s="472">
        <f t="shared" ref="AP5:AP68" si="24">IF(H5&gt;O5, "",AM5)</f>
        <v>10</v>
      </c>
      <c r="AQ5" s="472"/>
      <c r="AR5" s="6">
        <f>1/AM5*1000</f>
        <v>100</v>
      </c>
      <c r="AS5" s="6">
        <f t="shared" ref="AS5:AS68" si="25">L*AI5/J5*1000000</f>
        <v>0.375</v>
      </c>
      <c r="AT5" s="6">
        <f>AR5-AS5</f>
        <v>99.625</v>
      </c>
      <c r="AU5" s="179">
        <f>AS5/AR5</f>
        <v>3.7499999999999999E-3</v>
      </c>
      <c r="AW5" s="6">
        <f t="shared" ref="AW5:AW36" si="26">F5*AS5/Vout_ripple*1000</f>
        <v>7.500000000000001E-9</v>
      </c>
      <c r="AX5" s="6">
        <f t="shared" ref="AX5:AX36" si="27">G5*AS5/Vout_ripple2*1000</f>
        <v>1.1363636363636366E-8</v>
      </c>
      <c r="AY5" s="6">
        <f t="shared" ref="AY5:AY68" si="28">H5/Efficiency/J5*AT5/Vinripple1</f>
        <v>1.9217785493827158E-8</v>
      </c>
      <c r="AZ5" s="6"/>
      <c r="BA5" s="179">
        <f>AI5*SQRT(AU5/3)</f>
        <v>1.0606601717798212E-2</v>
      </c>
      <c r="BB5" s="179">
        <f t="shared" ref="BB5:BB36" si="29">AI5*Npri_sec1*SQRT((1-AU5)/3)*(Pout/Pout_total)</f>
        <v>0.51864004858861401</v>
      </c>
      <c r="BC5" s="179">
        <f t="shared" ref="BC5:BC36" si="30">AI5*Npri_sec2*SQRT((1-AU5)/3)*(Pout2/Pout_total)</f>
        <v>0.25197262360596828</v>
      </c>
      <c r="BD5" s="179"/>
      <c r="BE5" s="546">
        <f t="shared" ref="BE5:BE68" si="31">Rdson*BA5^2</f>
        <v>3.9374999999999988E-5</v>
      </c>
      <c r="BF5" s="546">
        <f t="shared" ref="BF5:BF68" si="32">0.5*L5*AI5*AM5*1000*Trise</f>
        <v>8.9774999999999979E-4</v>
      </c>
      <c r="BG5" s="546">
        <f t="shared" ref="BG5:BG68" si="33">Qg*Vdd*AM5*1000</f>
        <v>1.25E-4</v>
      </c>
      <c r="BH5" s="546">
        <f t="shared" ref="BH5:BH68" si="34">0.5*(Coss+Csw)*L5^2*AM5*1000</f>
        <v>7.9600500000000002E-4</v>
      </c>
      <c r="BI5">
        <f t="shared" ref="BI5:BI68" si="35">J5*IQ</f>
        <v>6.96E-3</v>
      </c>
      <c r="BJ5">
        <f t="shared" ref="BJ5:BJ36" si="36">(BF5+BG5+BH5+BI5+BE5*(1+RdsonTC*(Ta-25)))/(1-BE5*RdsonTC*ThetaJA)</f>
        <v>8.823566008771367E-3</v>
      </c>
      <c r="BK5" s="472">
        <f>BJ5*1000</f>
        <v>8.8235660087713672</v>
      </c>
      <c r="BL5" s="179">
        <f t="shared" ref="BL5:BL36" si="37">Vfwd2*F5*(1+Diode_TC/1000*(Ta-25))</f>
        <v>3.8800000000000006E-10</v>
      </c>
      <c r="BM5" s="179">
        <f t="shared" ref="BM5:BM36" si="38">Vfwd2*G5*(1+Diode_TC/1000*(Ta-25))</f>
        <v>3.8800000000000006E-10</v>
      </c>
      <c r="BN5" s="546"/>
      <c r="BP5" s="472">
        <f>SUM(BL5:BO5)*1000</f>
        <v>7.7600000000000007E-7</v>
      </c>
      <c r="BQ5" s="546">
        <f t="shared" ref="BQ5:BQ68" si="39">Rdcr_pri*BA5^2</f>
        <v>2.2499999999999995E-5</v>
      </c>
      <c r="BR5" s="546">
        <f>Rdcr_sec*BB5^2</f>
        <v>1.0759499999999995E-2</v>
      </c>
      <c r="BS5" s="546">
        <f t="shared" ref="BS5:BS36" si="40">Rdcr_sec2*BC5^2</f>
        <v>6.3490203046874978E-3</v>
      </c>
      <c r="BT5" s="546">
        <f t="shared" ref="BT5:BT68" si="41">AI5^2.5*AM5^2.5*k_core</f>
        <v>7.7942286340599532E-7</v>
      </c>
      <c r="BU5" s="546">
        <f t="shared" ref="BU5:BU36" si="42">(BT5+(BQ5+BR5+BS5)*(1+Ltc*(Ta-25)))/(1-(BQ5+BR5+BS5)*Ltc*ThetaCa)</f>
        <v>1.9213854398499965E-2</v>
      </c>
      <c r="BV5" s="655">
        <f t="shared" ref="BV5:BV36" si="43">0.5*Lleak*0.000000001*AI5^2*AM5*1000</f>
        <v>9.0000000000000006E-5</v>
      </c>
      <c r="BW5" s="472">
        <f>(BU5+BV5)*1000</f>
        <v>19.303854398499965</v>
      </c>
      <c r="BX5" s="179">
        <f>SUM(BJ5,BL5:BO5,BU5:BV5)</f>
        <v>2.8127421183271332E-2</v>
      </c>
      <c r="BY5" s="6">
        <f>MIN(H5+I5,O5+P5)</f>
        <v>8.2999999999999999E-9</v>
      </c>
      <c r="BZ5" s="179">
        <f>BY5/(BY5+BX5)</f>
        <v>2.9508562113492772E-7</v>
      </c>
      <c r="CA5" s="6">
        <f>BZ5*100</f>
        <v>2.9508562113492772E-5</v>
      </c>
      <c r="CB5">
        <v>0</v>
      </c>
      <c r="CD5" s="581">
        <f t="shared" ref="CD5:CD36" si="44">IF(ABS(F5-Ioutmax_Vinnom)&lt;Iout/200, AM5, -50)</f>
        <v>-50</v>
      </c>
      <c r="CE5">
        <f t="shared" ref="CE5:CE36" si="45">IF(ABS(F5-Ioutmax_Vinnom)&lt;Iout/200, (O5+P5)*BZ5, -50)</f>
        <v>-50</v>
      </c>
    </row>
    <row r="6" spans="2:83" x14ac:dyDescent="0.2">
      <c r="E6" s="176">
        <v>1</v>
      </c>
      <c r="F6" s="223">
        <f>IF(PLOT_TYPE=1, E6/100*Iout, min_I*EXP(O6*rr/100))</f>
        <v>0.01</v>
      </c>
      <c r="G6" s="223">
        <f t="shared" ref="G6:G37" si="46">IF(PLOT_TYPE=1, E6/100*Iout2, min_I*EXP(Q6*rr/100))</f>
        <v>5.0000000000000001E-3</v>
      </c>
      <c r="H6" s="223">
        <f t="shared" si="0"/>
        <v>0.05</v>
      </c>
      <c r="I6" s="223">
        <f>G6*Vout2</f>
        <v>1.6500000000000001E-2</v>
      </c>
      <c r="J6" s="559">
        <f t="shared" si="1"/>
        <v>24</v>
      </c>
      <c r="K6" s="454">
        <f t="shared" si="2"/>
        <v>15.899999999999999</v>
      </c>
      <c r="L6" s="454">
        <f t="shared" si="3"/>
        <v>39.9</v>
      </c>
      <c r="M6" s="454"/>
      <c r="N6" s="223">
        <f t="shared" si="4"/>
        <v>0.39849624060150374</v>
      </c>
      <c r="O6" s="178">
        <f t="shared" ref="O6:O37" si="47">N6*J6*Isw_max*0.5*Efficiency*Pout/(Pout+Pout2)</f>
        <v>4.8538639832664359</v>
      </c>
      <c r="P6" s="178">
        <f t="shared" si="5"/>
        <v>2.1303609022556387</v>
      </c>
      <c r="Q6" s="223">
        <f t="shared" si="6"/>
        <v>0.9707727966532872</v>
      </c>
      <c r="R6" s="223">
        <f t="shared" si="7"/>
        <v>1.4708678737171019</v>
      </c>
      <c r="S6" s="454">
        <f t="shared" si="8"/>
        <v>5</v>
      </c>
      <c r="T6" s="223">
        <f t="shared" si="9"/>
        <v>1.5451607267645004E-2</v>
      </c>
      <c r="U6" s="223">
        <f t="shared" si="10"/>
        <v>1.9314509084556255E-2</v>
      </c>
      <c r="V6" s="223">
        <f t="shared" si="11"/>
        <v>2.915397597668869E-2</v>
      </c>
      <c r="W6" s="203">
        <f t="shared" si="12"/>
        <v>350</v>
      </c>
      <c r="X6" s="454">
        <f t="shared" ref="X6:X69" si="48">MIN(1/(U6+V6)*1000, 350)</f>
        <v>350</v>
      </c>
      <c r="Z6" s="223">
        <f t="shared" si="13"/>
        <v>0.91084854994629427</v>
      </c>
      <c r="AA6" s="179">
        <f t="shared" si="14"/>
        <v>1.7185821697099894</v>
      </c>
      <c r="AB6" s="179">
        <f t="shared" si="15"/>
        <v>0.82181824055304764</v>
      </c>
      <c r="AC6" s="179"/>
      <c r="AD6" s="179">
        <f t="shared" si="16"/>
        <v>0.5660377358490567</v>
      </c>
      <c r="AE6" s="563">
        <f t="shared" si="17"/>
        <v>39.259259259259252</v>
      </c>
      <c r="AF6" s="546">
        <f t="shared" si="18"/>
        <v>8.9150943396226423E-2</v>
      </c>
      <c r="AH6" s="179">
        <f t="shared" si="19"/>
        <v>0.11254628677422755</v>
      </c>
      <c r="AI6" s="179">
        <f t="shared" si="20"/>
        <v>0.3</v>
      </c>
      <c r="AJ6" s="179">
        <f t="shared" si="21"/>
        <v>1.0224338624338625</v>
      </c>
      <c r="AL6" s="563">
        <f t="shared" si="22"/>
        <v>10</v>
      </c>
      <c r="AM6" s="472">
        <f t="shared" si="23"/>
        <v>39.259259259259252</v>
      </c>
      <c r="AO6">
        <f t="shared" ref="AO6:AO69" si="49">IF(H6&gt;O6, "",AL6)</f>
        <v>10</v>
      </c>
      <c r="AP6" s="472">
        <f t="shared" si="24"/>
        <v>39.259259259259252</v>
      </c>
      <c r="AQ6" s="472"/>
      <c r="AR6" s="6">
        <f t="shared" ref="AR6:AR69" si="50">1/AM6*1000</f>
        <v>25.471698113207552</v>
      </c>
      <c r="AS6" s="6">
        <f t="shared" si="25"/>
        <v>0.375</v>
      </c>
      <c r="AT6" s="6">
        <f t="shared" ref="AT6:AT69" si="51">AR6-AS6</f>
        <v>25.096698113207552</v>
      </c>
      <c r="AU6" s="179">
        <f t="shared" ref="AU6:AU69" si="52">AS6/AR6</f>
        <v>1.472222222222222E-2</v>
      </c>
      <c r="AW6" s="6">
        <f t="shared" si="26"/>
        <v>7.4999999999999997E-2</v>
      </c>
      <c r="AX6" s="6">
        <f t="shared" si="27"/>
        <v>5.6818181818181816E-2</v>
      </c>
      <c r="AY6" s="6">
        <f t="shared" si="28"/>
        <v>4.8411840496156544E-2</v>
      </c>
      <c r="AZ6" s="6"/>
      <c r="BA6" s="179">
        <f t="shared" ref="BA6:BA69" si="53">AI6*SQRT(AU6/3)</f>
        <v>2.1015867021530816E-2</v>
      </c>
      <c r="BB6" s="179">
        <f t="shared" si="29"/>
        <v>0.51577611422011382</v>
      </c>
      <c r="BC6" s="179">
        <f t="shared" si="30"/>
        <v>0.25058122882527201</v>
      </c>
      <c r="BD6" s="179"/>
      <c r="BE6" s="546">
        <f t="shared" si="31"/>
        <v>1.5458333333333329E-4</v>
      </c>
      <c r="BF6" s="546">
        <f t="shared" si="32"/>
        <v>3.5244999999999986E-3</v>
      </c>
      <c r="BG6" s="546">
        <f t="shared" si="33"/>
        <v>4.907407407407407E-4</v>
      </c>
      <c r="BH6" s="546">
        <f t="shared" si="34"/>
        <v>3.1250566666666661E-3</v>
      </c>
      <c r="BI6">
        <f t="shared" si="35"/>
        <v>6.96E-3</v>
      </c>
      <c r="BJ6">
        <f t="shared" si="36"/>
        <v>1.4276514185454618E-2</v>
      </c>
      <c r="BK6" s="472">
        <f t="shared" ref="BK6:BK69" si="54">BJ6*1000</f>
        <v>14.276514185454618</v>
      </c>
      <c r="BL6" s="179">
        <f t="shared" si="37"/>
        <v>3.8799999999999998E-3</v>
      </c>
      <c r="BM6" s="179">
        <f t="shared" si="38"/>
        <v>1.9399999999999999E-3</v>
      </c>
      <c r="BN6" s="546"/>
      <c r="BP6" s="472">
        <f t="shared" ref="BP6:BP69" si="55">SUM(BL6:BO6)*1000</f>
        <v>5.8199999999999994</v>
      </c>
      <c r="BQ6" s="546">
        <f t="shared" si="39"/>
        <v>8.8333333333333317E-5</v>
      </c>
      <c r="BR6" s="546">
        <f t="shared" ref="BR6:BR68" si="56">Rdcr_sec*BB6^2</f>
        <v>1.0640999999999996E-2</v>
      </c>
      <c r="BS6" s="546">
        <f t="shared" si="40"/>
        <v>6.2790952239583338E-3</v>
      </c>
      <c r="BT6" s="546">
        <f t="shared" si="41"/>
        <v>2.3802818984388882E-5</v>
      </c>
      <c r="BU6" s="546">
        <f t="shared" si="42"/>
        <v>1.9099230635131605E-2</v>
      </c>
      <c r="BV6" s="655">
        <f t="shared" si="43"/>
        <v>3.5333333333333332E-4</v>
      </c>
      <c r="BW6" s="472">
        <f t="shared" ref="BW6:BW69" si="57">(BU6+BV6)*1000</f>
        <v>19.45256396846494</v>
      </c>
      <c r="BX6" s="179">
        <f t="shared" ref="BX6:BX69" si="58">SUM(BJ6,BL6:BO6,BU6:BV6)</f>
        <v>3.9549078153919552E-2</v>
      </c>
      <c r="BY6" s="6">
        <f t="shared" ref="BY6:BY69" si="59">MIN(H6+I6,O6+P6)</f>
        <v>6.6500000000000004E-2</v>
      </c>
      <c r="BZ6" s="179">
        <f t="shared" ref="BZ6:BZ69" si="60">BY6/(BY6+BX6)</f>
        <v>0.6270681570987533</v>
      </c>
      <c r="CA6" s="6">
        <f t="shared" ref="CA6:CA69" si="61">BZ6*100</f>
        <v>62.706815709875329</v>
      </c>
      <c r="CB6">
        <f t="shared" ref="CB6:CB37" si="62">F6/Iout*100</f>
        <v>1</v>
      </c>
      <c r="CD6" s="581">
        <f t="shared" si="44"/>
        <v>-50</v>
      </c>
      <c r="CE6">
        <f t="shared" si="45"/>
        <v>-50</v>
      </c>
    </row>
    <row r="7" spans="2:83" x14ac:dyDescent="0.2">
      <c r="E7" s="176">
        <v>2</v>
      </c>
      <c r="F7" s="223">
        <f>IF(PLOT_TYPE=1, E7/100*Iout, min_I*EXP(O7*rr/100))</f>
        <v>0.02</v>
      </c>
      <c r="G7" s="223">
        <f t="shared" si="46"/>
        <v>0.01</v>
      </c>
      <c r="H7" s="223">
        <f t="shared" si="0"/>
        <v>0.1</v>
      </c>
      <c r="I7" s="223">
        <f>G7*Vout2</f>
        <v>3.3000000000000002E-2</v>
      </c>
      <c r="J7" s="559">
        <f t="shared" si="1"/>
        <v>24</v>
      </c>
      <c r="K7" s="454">
        <f t="shared" si="2"/>
        <v>15.899999999999999</v>
      </c>
      <c r="L7" s="454">
        <f t="shared" si="3"/>
        <v>39.9</v>
      </c>
      <c r="M7" s="454"/>
      <c r="N7" s="223">
        <f t="shared" si="4"/>
        <v>0.39849624060150374</v>
      </c>
      <c r="O7" s="178">
        <f t="shared" si="47"/>
        <v>4.8538639832664359</v>
      </c>
      <c r="P7" s="178">
        <f t="shared" si="5"/>
        <v>2.1303609022556387</v>
      </c>
      <c r="Q7" s="223">
        <f t="shared" si="6"/>
        <v>0.9707727966532872</v>
      </c>
      <c r="R7" s="223">
        <f t="shared" si="7"/>
        <v>1.4708678737171019</v>
      </c>
      <c r="S7" s="454">
        <f t="shared" si="8"/>
        <v>5</v>
      </c>
      <c r="T7" s="223">
        <f t="shared" si="9"/>
        <v>3.0903214535290009E-2</v>
      </c>
      <c r="U7" s="223">
        <f t="shared" si="10"/>
        <v>3.862901816911251E-2</v>
      </c>
      <c r="V7" s="223">
        <f t="shared" si="11"/>
        <v>5.8307951953377381E-2</v>
      </c>
      <c r="W7" s="203">
        <f t="shared" si="12"/>
        <v>350</v>
      </c>
      <c r="X7" s="454">
        <f t="shared" si="48"/>
        <v>350</v>
      </c>
      <c r="Z7" s="223">
        <f t="shared" si="13"/>
        <v>0.91084854994629427</v>
      </c>
      <c r="AA7" s="179">
        <f t="shared" si="14"/>
        <v>1.7185821697099894</v>
      </c>
      <c r="AB7" s="179">
        <f t="shared" si="15"/>
        <v>0.82181824055304764</v>
      </c>
      <c r="AC7" s="179"/>
      <c r="AD7" s="179">
        <f t="shared" si="16"/>
        <v>0.5660377358490567</v>
      </c>
      <c r="AE7" s="563">
        <f t="shared" si="17"/>
        <v>78.518518518518505</v>
      </c>
      <c r="AF7" s="546">
        <f t="shared" si="18"/>
        <v>8.9150943396226423E-2</v>
      </c>
      <c r="AH7" s="179">
        <f t="shared" si="19"/>
        <v>0.1591644851508443</v>
      </c>
      <c r="AI7" s="179">
        <f t="shared" si="20"/>
        <v>0.3</v>
      </c>
      <c r="AJ7" s="179">
        <f t="shared" si="21"/>
        <v>1.0448677248677249</v>
      </c>
      <c r="AL7" s="563">
        <f t="shared" si="22"/>
        <v>20</v>
      </c>
      <c r="AM7" s="472">
        <f t="shared" si="23"/>
        <v>78.518518518518505</v>
      </c>
      <c r="AO7">
        <f t="shared" si="49"/>
        <v>20</v>
      </c>
      <c r="AP7" s="472">
        <f t="shared" si="24"/>
        <v>78.518518518518505</v>
      </c>
      <c r="AQ7" s="472"/>
      <c r="AR7" s="6">
        <f t="shared" si="50"/>
        <v>12.735849056603776</v>
      </c>
      <c r="AS7" s="6">
        <f t="shared" si="25"/>
        <v>0.375</v>
      </c>
      <c r="AT7" s="6">
        <f t="shared" si="51"/>
        <v>12.360849056603776</v>
      </c>
      <c r="AU7" s="179">
        <f t="shared" si="52"/>
        <v>2.944444444444444E-2</v>
      </c>
      <c r="AW7" s="6">
        <f t="shared" si="26"/>
        <v>0.15</v>
      </c>
      <c r="AX7" s="6">
        <f t="shared" si="27"/>
        <v>0.11363636363636363</v>
      </c>
      <c r="AY7" s="6">
        <f t="shared" si="28"/>
        <v>4.7688460866526915E-2</v>
      </c>
      <c r="AZ7" s="6"/>
      <c r="BA7" s="179">
        <f t="shared" si="53"/>
        <v>2.9720924166878344E-2</v>
      </c>
      <c r="BB7" s="179">
        <f t="shared" si="29"/>
        <v>0.51190819489435802</v>
      </c>
      <c r="BC7" s="179">
        <f t="shared" si="30"/>
        <v>0.24870206468617559</v>
      </c>
      <c r="BD7" s="179"/>
      <c r="BE7" s="546">
        <f t="shared" si="31"/>
        <v>3.0916666666666657E-4</v>
      </c>
      <c r="BF7" s="546">
        <f t="shared" si="32"/>
        <v>7.0489999999999971E-3</v>
      </c>
      <c r="BG7" s="546">
        <f t="shared" si="33"/>
        <v>9.814814814814814E-4</v>
      </c>
      <c r="BH7" s="546">
        <f t="shared" si="34"/>
        <v>6.2501133333333321E-3</v>
      </c>
      <c r="BI7">
        <f t="shared" si="35"/>
        <v>6.96E-3</v>
      </c>
      <c r="BJ7">
        <f t="shared" si="36"/>
        <v>2.1593812245610553E-2</v>
      </c>
      <c r="BK7" s="472">
        <f t="shared" si="54"/>
        <v>21.593812245610554</v>
      </c>
      <c r="BL7" s="179">
        <f t="shared" si="37"/>
        <v>7.7599999999999995E-3</v>
      </c>
      <c r="BM7" s="179">
        <f t="shared" si="38"/>
        <v>3.8799999999999998E-3</v>
      </c>
      <c r="BN7" s="546"/>
      <c r="BP7" s="472">
        <f t="shared" si="55"/>
        <v>11.639999999999999</v>
      </c>
      <c r="BQ7" s="546">
        <f t="shared" si="39"/>
        <v>1.7666666666666666E-4</v>
      </c>
      <c r="BR7" s="546">
        <f t="shared" si="56"/>
        <v>1.0482E-2</v>
      </c>
      <c r="BS7" s="546">
        <f t="shared" si="40"/>
        <v>6.1852716979166672E-3</v>
      </c>
      <c r="BT7" s="546">
        <f t="shared" si="41"/>
        <v>1.3464907772173807E-4</v>
      </c>
      <c r="BU7" s="546">
        <f t="shared" si="42"/>
        <v>1.9025497190217282E-2</v>
      </c>
      <c r="BV7" s="655">
        <f t="shared" si="43"/>
        <v>7.0666666666666664E-4</v>
      </c>
      <c r="BW7" s="472">
        <f t="shared" si="57"/>
        <v>19.73216385688395</v>
      </c>
      <c r="BX7" s="179">
        <f t="shared" si="58"/>
        <v>5.2965976102494504E-2</v>
      </c>
      <c r="BY7" s="6">
        <f t="shared" si="59"/>
        <v>0.13300000000000001</v>
      </c>
      <c r="BZ7" s="179">
        <f t="shared" si="60"/>
        <v>0.71518458799526585</v>
      </c>
      <c r="CA7" s="6">
        <f t="shared" si="61"/>
        <v>71.518458799526584</v>
      </c>
      <c r="CB7">
        <f t="shared" si="62"/>
        <v>2</v>
      </c>
      <c r="CD7" s="581">
        <f t="shared" si="44"/>
        <v>-50</v>
      </c>
      <c r="CE7">
        <f t="shared" si="45"/>
        <v>-50</v>
      </c>
    </row>
    <row r="8" spans="2:83" x14ac:dyDescent="0.2">
      <c r="E8" s="176">
        <v>3</v>
      </c>
      <c r="F8" s="223">
        <f t="shared" ref="F8:F39" si="63">IF(PLOT_TYPE=1, E8/100*Iout_max, min_I*EXP(O8*rr/100))</f>
        <v>0.03</v>
      </c>
      <c r="G8" s="223">
        <f t="shared" si="46"/>
        <v>1.4999999999999999E-2</v>
      </c>
      <c r="H8" s="223">
        <f t="shared" si="0"/>
        <v>0.15</v>
      </c>
      <c r="I8" s="223">
        <f t="shared" ref="I8:I39" si="64">Vout2*G8</f>
        <v>4.9499999999999995E-2</v>
      </c>
      <c r="J8" s="559">
        <f t="shared" si="1"/>
        <v>24</v>
      </c>
      <c r="K8" s="454">
        <f t="shared" si="2"/>
        <v>15.899999999999999</v>
      </c>
      <c r="L8" s="454">
        <f t="shared" si="3"/>
        <v>39.9</v>
      </c>
      <c r="M8" s="454"/>
      <c r="N8" s="223">
        <f t="shared" si="4"/>
        <v>0.39849624060150374</v>
      </c>
      <c r="O8" s="178">
        <f t="shared" si="47"/>
        <v>4.8538639832664359</v>
      </c>
      <c r="P8" s="178">
        <f t="shared" si="5"/>
        <v>2.1303609022556387</v>
      </c>
      <c r="Q8" s="223">
        <f t="shared" si="6"/>
        <v>0.9707727966532872</v>
      </c>
      <c r="R8" s="223">
        <f t="shared" si="7"/>
        <v>1.4708678737171019</v>
      </c>
      <c r="S8" s="454">
        <f t="shared" si="8"/>
        <v>5</v>
      </c>
      <c r="T8" s="223">
        <f t="shared" si="9"/>
        <v>4.6354821802935008E-2</v>
      </c>
      <c r="U8" s="223">
        <f t="shared" si="10"/>
        <v>5.7943527253668754E-2</v>
      </c>
      <c r="V8" s="223">
        <f t="shared" si="11"/>
        <v>8.7461927930066061E-2</v>
      </c>
      <c r="W8" s="203">
        <f t="shared" si="12"/>
        <v>350</v>
      </c>
      <c r="X8" s="454">
        <f t="shared" si="48"/>
        <v>350</v>
      </c>
      <c r="Z8" s="223">
        <f t="shared" si="13"/>
        <v>0.91084854994629427</v>
      </c>
      <c r="AA8" s="179">
        <f t="shared" si="14"/>
        <v>1.7185821697099894</v>
      </c>
      <c r="AB8" s="179">
        <f t="shared" si="15"/>
        <v>0.82181824055304764</v>
      </c>
      <c r="AC8" s="179"/>
      <c r="AD8" s="179">
        <f t="shared" si="16"/>
        <v>0.5660377358490567</v>
      </c>
      <c r="AE8" s="563">
        <f t="shared" si="17"/>
        <v>117.77777777777776</v>
      </c>
      <c r="AF8" s="546">
        <f t="shared" si="18"/>
        <v>8.9150943396226423E-2</v>
      </c>
      <c r="AH8" s="179">
        <f t="shared" si="19"/>
        <v>0.19493588689617927</v>
      </c>
      <c r="AI8" s="179">
        <f t="shared" si="20"/>
        <v>0.3</v>
      </c>
      <c r="AJ8" s="179">
        <f t="shared" si="21"/>
        <v>1.0673015873015872</v>
      </c>
      <c r="AL8" s="563">
        <f t="shared" si="22"/>
        <v>30</v>
      </c>
      <c r="AM8" s="472">
        <f t="shared" si="23"/>
        <v>117.77777777777776</v>
      </c>
      <c r="AO8">
        <f t="shared" si="49"/>
        <v>30</v>
      </c>
      <c r="AP8" s="472">
        <f t="shared" si="24"/>
        <v>117.77777777777776</v>
      </c>
      <c r="AQ8" s="472"/>
      <c r="AR8" s="6">
        <f t="shared" si="50"/>
        <v>8.4905660377358512</v>
      </c>
      <c r="AS8" s="6">
        <f t="shared" si="25"/>
        <v>0.375</v>
      </c>
      <c r="AT8" s="6">
        <f t="shared" si="51"/>
        <v>8.1155660377358512</v>
      </c>
      <c r="AU8" s="179">
        <f t="shared" si="52"/>
        <v>4.4166666666666653E-2</v>
      </c>
      <c r="AW8" s="6">
        <f t="shared" si="26"/>
        <v>0.22500000000000001</v>
      </c>
      <c r="AX8" s="6">
        <f t="shared" si="27"/>
        <v>0.17045454545454544</v>
      </c>
      <c r="AY8" s="6">
        <f t="shared" si="28"/>
        <v>4.6965081236897278E-2</v>
      </c>
      <c r="AZ8" s="6"/>
      <c r="BA8" s="179">
        <f t="shared" si="53"/>
        <v>3.6400549446402586E-2</v>
      </c>
      <c r="BB8" s="179">
        <f t="shared" si="29"/>
        <v>0.50801082665628294</v>
      </c>
      <c r="BC8" s="179">
        <f t="shared" si="30"/>
        <v>0.24680859328384408</v>
      </c>
      <c r="BD8" s="179"/>
      <c r="BE8" s="546">
        <f t="shared" si="31"/>
        <v>4.6374999999999981E-4</v>
      </c>
      <c r="BF8" s="546">
        <f t="shared" si="32"/>
        <v>1.0573499999999998E-2</v>
      </c>
      <c r="BG8" s="546">
        <f t="shared" si="33"/>
        <v>1.4722222222222218E-3</v>
      </c>
      <c r="BH8" s="546">
        <f t="shared" si="34"/>
        <v>9.3751699999999969E-3</v>
      </c>
      <c r="BI8">
        <f t="shared" si="35"/>
        <v>6.96E-3</v>
      </c>
      <c r="BJ8">
        <f t="shared" si="36"/>
        <v>2.8911894306448385E-2</v>
      </c>
      <c r="BK8" s="472">
        <f t="shared" si="54"/>
        <v>28.911894306448385</v>
      </c>
      <c r="BL8" s="179">
        <f t="shared" si="37"/>
        <v>1.1639999999999999E-2</v>
      </c>
      <c r="BM8" s="179">
        <f t="shared" si="38"/>
        <v>5.8199999999999997E-3</v>
      </c>
      <c r="BN8" s="546"/>
      <c r="BP8" s="472">
        <f t="shared" si="55"/>
        <v>17.46</v>
      </c>
      <c r="BQ8" s="546">
        <f t="shared" si="39"/>
        <v>2.6499999999999994E-4</v>
      </c>
      <c r="BR8" s="546">
        <f t="shared" si="56"/>
        <v>1.0322999999999997E-2</v>
      </c>
      <c r="BS8" s="546">
        <f t="shared" si="40"/>
        <v>6.0914481718749962E-3</v>
      </c>
      <c r="BT8" s="546">
        <f t="shared" si="41"/>
        <v>3.7104922659893897E-4</v>
      </c>
      <c r="BU8" s="546">
        <f t="shared" si="42"/>
        <v>1.9077487336000568E-2</v>
      </c>
      <c r="BV8" s="655">
        <f t="shared" si="43"/>
        <v>1.06E-3</v>
      </c>
      <c r="BW8" s="472">
        <f t="shared" si="57"/>
        <v>20.137487336000568</v>
      </c>
      <c r="BX8" s="179">
        <f t="shared" si="58"/>
        <v>6.6509381642448961E-2</v>
      </c>
      <c r="BY8" s="6">
        <f t="shared" si="59"/>
        <v>0.19949999999999998</v>
      </c>
      <c r="BZ8" s="179">
        <f t="shared" si="60"/>
        <v>0.7499735489335253</v>
      </c>
      <c r="CA8" s="6">
        <f t="shared" si="61"/>
        <v>74.997354893352536</v>
      </c>
      <c r="CB8">
        <f t="shared" si="62"/>
        <v>3</v>
      </c>
      <c r="CD8" s="581">
        <f t="shared" si="44"/>
        <v>-50</v>
      </c>
      <c r="CE8">
        <f t="shared" si="45"/>
        <v>-50</v>
      </c>
    </row>
    <row r="9" spans="2:83" x14ac:dyDescent="0.2">
      <c r="E9" s="176">
        <v>4</v>
      </c>
      <c r="F9" s="223">
        <f t="shared" si="63"/>
        <v>0.04</v>
      </c>
      <c r="G9" s="223">
        <f t="shared" si="46"/>
        <v>0.02</v>
      </c>
      <c r="H9" s="223">
        <f t="shared" si="0"/>
        <v>0.2</v>
      </c>
      <c r="I9" s="223">
        <f t="shared" si="64"/>
        <v>6.6000000000000003E-2</v>
      </c>
      <c r="J9" s="559">
        <f t="shared" si="1"/>
        <v>24</v>
      </c>
      <c r="K9" s="454">
        <f t="shared" si="2"/>
        <v>15.899999999999999</v>
      </c>
      <c r="L9" s="454">
        <f t="shared" si="3"/>
        <v>39.9</v>
      </c>
      <c r="M9" s="454"/>
      <c r="N9" s="223">
        <f t="shared" si="4"/>
        <v>0.39849624060150374</v>
      </c>
      <c r="O9" s="178">
        <f t="shared" si="47"/>
        <v>4.8538639832664359</v>
      </c>
      <c r="P9" s="178">
        <f t="shared" si="5"/>
        <v>2.1303609022556387</v>
      </c>
      <c r="Q9" s="223">
        <f t="shared" si="6"/>
        <v>0.9707727966532872</v>
      </c>
      <c r="R9" s="223">
        <f t="shared" si="7"/>
        <v>1.4708678737171019</v>
      </c>
      <c r="S9" s="454">
        <f t="shared" si="8"/>
        <v>5</v>
      </c>
      <c r="T9" s="223">
        <f t="shared" si="9"/>
        <v>6.1806429070580017E-2</v>
      </c>
      <c r="U9" s="223">
        <f t="shared" si="10"/>
        <v>7.725803633822502E-2</v>
      </c>
      <c r="V9" s="223">
        <f t="shared" si="11"/>
        <v>0.11661590390675476</v>
      </c>
      <c r="W9" s="203">
        <f t="shared" si="12"/>
        <v>350</v>
      </c>
      <c r="X9" s="454">
        <f t="shared" si="48"/>
        <v>350</v>
      </c>
      <c r="Z9" s="223">
        <f t="shared" si="13"/>
        <v>0.91084854994629427</v>
      </c>
      <c r="AA9" s="179">
        <f t="shared" si="14"/>
        <v>1.7185821697099894</v>
      </c>
      <c r="AB9" s="179">
        <f t="shared" si="15"/>
        <v>0.82181824055304764</v>
      </c>
      <c r="AC9" s="179"/>
      <c r="AD9" s="179">
        <f t="shared" si="16"/>
        <v>0.5660377358490567</v>
      </c>
      <c r="AE9" s="563">
        <f t="shared" si="17"/>
        <v>157.03703703703701</v>
      </c>
      <c r="AF9" s="546">
        <f t="shared" si="18"/>
        <v>8.9150943396226423E-2</v>
      </c>
      <c r="AH9" s="179">
        <f t="shared" si="19"/>
        <v>0.2250925735484551</v>
      </c>
      <c r="AI9" s="179">
        <f t="shared" si="20"/>
        <v>0.3</v>
      </c>
      <c r="AJ9" s="179">
        <f t="shared" si="21"/>
        <v>1.0897354497354497</v>
      </c>
      <c r="AL9" s="563">
        <f t="shared" si="22"/>
        <v>40</v>
      </c>
      <c r="AM9" s="472">
        <f t="shared" si="23"/>
        <v>157.03703703703701</v>
      </c>
      <c r="AO9">
        <f t="shared" si="49"/>
        <v>40</v>
      </c>
      <c r="AP9" s="472">
        <f t="shared" si="24"/>
        <v>157.03703703703701</v>
      </c>
      <c r="AQ9" s="472"/>
      <c r="AR9" s="6">
        <f t="shared" si="50"/>
        <v>6.3679245283018879</v>
      </c>
      <c r="AS9" s="6">
        <f t="shared" si="25"/>
        <v>0.375</v>
      </c>
      <c r="AT9" s="6">
        <f t="shared" si="51"/>
        <v>5.9929245283018879</v>
      </c>
      <c r="AU9" s="179">
        <f t="shared" si="52"/>
        <v>5.888888888888888E-2</v>
      </c>
      <c r="AW9" s="6">
        <f t="shared" si="26"/>
        <v>0.3</v>
      </c>
      <c r="AX9" s="6">
        <f t="shared" si="27"/>
        <v>0.22727272727272727</v>
      </c>
      <c r="AY9" s="6">
        <f t="shared" si="28"/>
        <v>4.6241701607267656E-2</v>
      </c>
      <c r="AZ9" s="6"/>
      <c r="BA9" s="179">
        <f t="shared" si="53"/>
        <v>4.2031734043061632E-2</v>
      </c>
      <c r="BB9" s="179">
        <f t="shared" si="29"/>
        <v>0.50408332644514231</v>
      </c>
      <c r="BC9" s="179">
        <f t="shared" si="30"/>
        <v>0.24490048276459833</v>
      </c>
      <c r="BD9" s="179"/>
      <c r="BE9" s="546">
        <f t="shared" si="31"/>
        <v>6.1833333333333315E-4</v>
      </c>
      <c r="BF9" s="546">
        <f t="shared" si="32"/>
        <v>1.4097999999999994E-2</v>
      </c>
      <c r="BG9" s="546">
        <f t="shared" si="33"/>
        <v>1.9629629629629628E-3</v>
      </c>
      <c r="BH9" s="546">
        <f t="shared" si="34"/>
        <v>1.2500226666666664E-2</v>
      </c>
      <c r="BI9">
        <f t="shared" si="35"/>
        <v>6.96E-3</v>
      </c>
      <c r="BJ9">
        <f t="shared" si="36"/>
        <v>3.6230760493975687E-2</v>
      </c>
      <c r="BK9" s="472">
        <f t="shared" si="54"/>
        <v>36.230760493975687</v>
      </c>
      <c r="BL9" s="179">
        <f t="shared" si="37"/>
        <v>1.5519999999999999E-2</v>
      </c>
      <c r="BM9" s="179">
        <f t="shared" si="38"/>
        <v>7.7599999999999995E-3</v>
      </c>
      <c r="BN9" s="546"/>
      <c r="BP9" s="472">
        <f t="shared" si="55"/>
        <v>23.279999999999998</v>
      </c>
      <c r="BQ9" s="546">
        <f t="shared" si="39"/>
        <v>3.5333333333333327E-4</v>
      </c>
      <c r="BR9" s="546">
        <f t="shared" si="56"/>
        <v>1.0163999999999996E-2</v>
      </c>
      <c r="BS9" s="546">
        <f t="shared" si="40"/>
        <v>5.997624645833333E-3</v>
      </c>
      <c r="BT9" s="546">
        <f t="shared" si="41"/>
        <v>7.6169020750044324E-4</v>
      </c>
      <c r="BU9" s="546">
        <f t="shared" si="42"/>
        <v>1.9283920995760588E-2</v>
      </c>
      <c r="BV9" s="655">
        <f t="shared" si="43"/>
        <v>1.4133333333333333E-3</v>
      </c>
      <c r="BW9" s="472">
        <f t="shared" si="57"/>
        <v>20.697254329093919</v>
      </c>
      <c r="BX9" s="179">
        <f t="shared" si="58"/>
        <v>8.020801482306962E-2</v>
      </c>
      <c r="BY9" s="6">
        <f t="shared" si="59"/>
        <v>0.26600000000000001</v>
      </c>
      <c r="BZ9" s="179">
        <f t="shared" si="60"/>
        <v>0.76832421148869101</v>
      </c>
      <c r="CA9" s="6">
        <f t="shared" si="61"/>
        <v>76.832421148869102</v>
      </c>
      <c r="CB9">
        <f t="shared" si="62"/>
        <v>4</v>
      </c>
      <c r="CD9" s="581">
        <f t="shared" si="44"/>
        <v>-50</v>
      </c>
      <c r="CE9">
        <f t="shared" si="45"/>
        <v>-50</v>
      </c>
    </row>
    <row r="10" spans="2:83" x14ac:dyDescent="0.2">
      <c r="E10" s="176">
        <v>5</v>
      </c>
      <c r="F10" s="223">
        <f t="shared" si="63"/>
        <v>0.05</v>
      </c>
      <c r="G10" s="223">
        <f t="shared" si="46"/>
        <v>2.5000000000000001E-2</v>
      </c>
      <c r="H10" s="223">
        <f t="shared" si="0"/>
        <v>0.25</v>
      </c>
      <c r="I10" s="223">
        <f t="shared" si="64"/>
        <v>8.2500000000000004E-2</v>
      </c>
      <c r="J10" s="559">
        <f t="shared" si="1"/>
        <v>24</v>
      </c>
      <c r="K10" s="454">
        <f t="shared" si="2"/>
        <v>15.899999999999999</v>
      </c>
      <c r="L10" s="454">
        <f t="shared" si="3"/>
        <v>39.9</v>
      </c>
      <c r="M10" s="454"/>
      <c r="N10" s="223">
        <f t="shared" si="4"/>
        <v>0.39849624060150374</v>
      </c>
      <c r="O10" s="178">
        <f t="shared" si="47"/>
        <v>4.8538639832664359</v>
      </c>
      <c r="P10" s="178">
        <f t="shared" si="5"/>
        <v>2.1303609022556387</v>
      </c>
      <c r="Q10" s="223">
        <f t="shared" si="6"/>
        <v>0.9707727966532872</v>
      </c>
      <c r="R10" s="223">
        <f t="shared" si="7"/>
        <v>1.4708678737171019</v>
      </c>
      <c r="S10" s="454">
        <f t="shared" si="8"/>
        <v>5</v>
      </c>
      <c r="T10" s="223">
        <f t="shared" si="9"/>
        <v>7.725803633822502E-2</v>
      </c>
      <c r="U10" s="223">
        <f t="shared" si="10"/>
        <v>9.6572545422781278E-2</v>
      </c>
      <c r="V10" s="223">
        <f t="shared" si="11"/>
        <v>0.14576987988344345</v>
      </c>
      <c r="W10" s="203">
        <f t="shared" si="12"/>
        <v>350</v>
      </c>
      <c r="X10" s="454">
        <f t="shared" si="48"/>
        <v>350</v>
      </c>
      <c r="Z10" s="223">
        <f t="shared" si="13"/>
        <v>0.91084854994629427</v>
      </c>
      <c r="AA10" s="179">
        <f t="shared" si="14"/>
        <v>1.7185821697099894</v>
      </c>
      <c r="AB10" s="179">
        <f t="shared" si="15"/>
        <v>0.82181824055304764</v>
      </c>
      <c r="AC10" s="179"/>
      <c r="AD10" s="179">
        <f t="shared" si="16"/>
        <v>0.5660377358490567</v>
      </c>
      <c r="AE10" s="563">
        <f t="shared" si="17"/>
        <v>196.29629629629628</v>
      </c>
      <c r="AF10" s="546">
        <f t="shared" si="18"/>
        <v>8.9150943396226423E-2</v>
      </c>
      <c r="AH10" s="179">
        <f t="shared" si="19"/>
        <v>0.25166114784235832</v>
      </c>
      <c r="AI10" s="179">
        <f t="shared" si="20"/>
        <v>0.3</v>
      </c>
      <c r="AJ10" s="179">
        <f t="shared" si="21"/>
        <v>1.1121693121693121</v>
      </c>
      <c r="AL10" s="563">
        <f t="shared" si="22"/>
        <v>50</v>
      </c>
      <c r="AM10" s="472">
        <f t="shared" si="23"/>
        <v>196.29629629629628</v>
      </c>
      <c r="AO10">
        <f t="shared" si="49"/>
        <v>50</v>
      </c>
      <c r="AP10" s="472">
        <f t="shared" si="24"/>
        <v>196.29629629629628</v>
      </c>
      <c r="AQ10" s="472"/>
      <c r="AR10" s="6">
        <f t="shared" si="50"/>
        <v>5.0943396226415105</v>
      </c>
      <c r="AS10" s="6">
        <f t="shared" si="25"/>
        <v>0.375</v>
      </c>
      <c r="AT10" s="6">
        <f t="shared" si="51"/>
        <v>4.7193396226415105</v>
      </c>
      <c r="AU10" s="179">
        <f t="shared" si="52"/>
        <v>7.3611111111111099E-2</v>
      </c>
      <c r="AW10" s="6">
        <f t="shared" si="26"/>
        <v>0.37500000000000006</v>
      </c>
      <c r="AX10" s="6">
        <f t="shared" si="27"/>
        <v>0.28409090909090912</v>
      </c>
      <c r="AY10" s="6">
        <f t="shared" si="28"/>
        <v>4.551832197763802E-2</v>
      </c>
      <c r="AZ10" s="6"/>
      <c r="BA10" s="179">
        <f t="shared" si="53"/>
        <v>4.6992907266238941E-2</v>
      </c>
      <c r="BB10" s="179">
        <f t="shared" si="29"/>
        <v>0.50012498437890496</v>
      </c>
      <c r="BC10" s="179">
        <f t="shared" si="30"/>
        <v>0.24297738824408466</v>
      </c>
      <c r="BD10" s="179"/>
      <c r="BE10" s="546">
        <f t="shared" si="31"/>
        <v>7.7291666666666633E-4</v>
      </c>
      <c r="BF10" s="546">
        <f t="shared" si="32"/>
        <v>1.7622499999999992E-2</v>
      </c>
      <c r="BG10" s="546">
        <f t="shared" si="33"/>
        <v>2.4537037037037036E-3</v>
      </c>
      <c r="BH10" s="546">
        <f t="shared" si="34"/>
        <v>1.562528333333333E-2</v>
      </c>
      <c r="BI10">
        <f t="shared" si="35"/>
        <v>6.96E-3</v>
      </c>
      <c r="BJ10">
        <f t="shared" si="36"/>
        <v>4.3550410934227055E-2</v>
      </c>
      <c r="BK10" s="472">
        <f t="shared" si="54"/>
        <v>43.550410934227052</v>
      </c>
      <c r="BL10" s="179">
        <f t="shared" si="37"/>
        <v>1.9400000000000004E-2</v>
      </c>
      <c r="BM10" s="179">
        <f t="shared" si="38"/>
        <v>9.700000000000002E-3</v>
      </c>
      <c r="BN10" s="546"/>
      <c r="BP10" s="472">
        <f t="shared" si="55"/>
        <v>29.100000000000009</v>
      </c>
      <c r="BQ10" s="546">
        <f t="shared" si="39"/>
        <v>4.4166666666666654E-4</v>
      </c>
      <c r="BR10" s="546">
        <f t="shared" si="56"/>
        <v>1.0004999999999998E-2</v>
      </c>
      <c r="BS10" s="546">
        <f t="shared" si="40"/>
        <v>5.9038011197916655E-3</v>
      </c>
      <c r="BT10" s="546">
        <f t="shared" si="41"/>
        <v>1.330618032630401E-3</v>
      </c>
      <c r="BU10" s="546">
        <f t="shared" si="42"/>
        <v>1.9668869570928973E-2</v>
      </c>
      <c r="BV10" s="655">
        <f t="shared" si="43"/>
        <v>1.7666666666666668E-3</v>
      </c>
      <c r="BW10" s="472">
        <f t="shared" si="57"/>
        <v>21.435536237595638</v>
      </c>
      <c r="BX10" s="179">
        <f t="shared" si="58"/>
        <v>9.4085947171822698E-2</v>
      </c>
      <c r="BY10" s="6">
        <f t="shared" si="59"/>
        <v>0.33250000000000002</v>
      </c>
      <c r="BZ10" s="179">
        <f t="shared" si="60"/>
        <v>0.77944433520233558</v>
      </c>
      <c r="CA10" s="6">
        <f t="shared" si="61"/>
        <v>77.944433520233559</v>
      </c>
      <c r="CB10">
        <f t="shared" si="62"/>
        <v>5</v>
      </c>
      <c r="CD10" s="581">
        <f t="shared" si="44"/>
        <v>-50</v>
      </c>
      <c r="CE10">
        <f t="shared" si="45"/>
        <v>-50</v>
      </c>
    </row>
    <row r="11" spans="2:83" x14ac:dyDescent="0.2">
      <c r="E11" s="176">
        <v>6</v>
      </c>
      <c r="F11" s="223">
        <f t="shared" si="63"/>
        <v>0.06</v>
      </c>
      <c r="G11" s="223">
        <f t="shared" si="46"/>
        <v>0.03</v>
      </c>
      <c r="H11" s="223">
        <f t="shared" si="0"/>
        <v>0.3</v>
      </c>
      <c r="I11" s="223">
        <f t="shared" si="64"/>
        <v>9.8999999999999991E-2</v>
      </c>
      <c r="J11" s="559">
        <f t="shared" si="1"/>
        <v>24</v>
      </c>
      <c r="K11" s="454">
        <f t="shared" si="2"/>
        <v>15.899999999999999</v>
      </c>
      <c r="L11" s="454">
        <f t="shared" si="3"/>
        <v>39.9</v>
      </c>
      <c r="M11" s="454"/>
      <c r="N11" s="223">
        <f t="shared" si="4"/>
        <v>0.39849624060150374</v>
      </c>
      <c r="O11" s="178">
        <f t="shared" si="47"/>
        <v>4.8538639832664359</v>
      </c>
      <c r="P11" s="178">
        <f t="shared" si="5"/>
        <v>2.1303609022556387</v>
      </c>
      <c r="Q11" s="223">
        <f t="shared" si="6"/>
        <v>0.9707727966532872</v>
      </c>
      <c r="R11" s="223">
        <f t="shared" si="7"/>
        <v>1.4708678737171019</v>
      </c>
      <c r="S11" s="454">
        <f t="shared" si="8"/>
        <v>5</v>
      </c>
      <c r="T11" s="223">
        <f t="shared" si="9"/>
        <v>9.2709643605870015E-2</v>
      </c>
      <c r="U11" s="223">
        <f t="shared" si="10"/>
        <v>0.11588705450733751</v>
      </c>
      <c r="V11" s="223">
        <f t="shared" si="11"/>
        <v>0.17492385586013212</v>
      </c>
      <c r="W11" s="203">
        <f t="shared" si="12"/>
        <v>350</v>
      </c>
      <c r="X11" s="454">
        <f t="shared" si="48"/>
        <v>350</v>
      </c>
      <c r="Z11" s="223">
        <f t="shared" si="13"/>
        <v>0.91084854994629427</v>
      </c>
      <c r="AA11" s="179">
        <f t="shared" si="14"/>
        <v>1.7185821697099894</v>
      </c>
      <c r="AB11" s="179">
        <f t="shared" si="15"/>
        <v>0.82181824055304764</v>
      </c>
      <c r="AC11" s="179"/>
      <c r="AD11" s="179">
        <f t="shared" si="16"/>
        <v>0.5660377358490567</v>
      </c>
      <c r="AE11" s="563">
        <f t="shared" si="17"/>
        <v>235.55555555555551</v>
      </c>
      <c r="AF11" s="546">
        <f t="shared" si="18"/>
        <v>8.9150943396226423E-2</v>
      </c>
      <c r="AH11" s="179">
        <f t="shared" si="19"/>
        <v>0.27568097504180444</v>
      </c>
      <c r="AI11" s="179">
        <f t="shared" si="20"/>
        <v>0.3</v>
      </c>
      <c r="AJ11" s="179">
        <f t="shared" si="21"/>
        <v>1.1346031746031746</v>
      </c>
      <c r="AL11" s="563">
        <f t="shared" si="22"/>
        <v>60</v>
      </c>
      <c r="AM11" s="472">
        <f t="shared" si="23"/>
        <v>235.55555555555551</v>
      </c>
      <c r="AO11">
        <f t="shared" si="49"/>
        <v>60</v>
      </c>
      <c r="AP11" s="472">
        <f t="shared" si="24"/>
        <v>235.55555555555551</v>
      </c>
      <c r="AQ11" s="472"/>
      <c r="AR11" s="6">
        <f t="shared" si="50"/>
        <v>4.2452830188679256</v>
      </c>
      <c r="AS11" s="6">
        <f t="shared" si="25"/>
        <v>0.375</v>
      </c>
      <c r="AT11" s="6">
        <f t="shared" si="51"/>
        <v>3.8702830188679256</v>
      </c>
      <c r="AU11" s="179">
        <f t="shared" si="52"/>
        <v>8.8333333333333305E-2</v>
      </c>
      <c r="AW11" s="6">
        <f t="shared" si="26"/>
        <v>0.45</v>
      </c>
      <c r="AX11" s="6">
        <f t="shared" si="27"/>
        <v>0.34090909090909088</v>
      </c>
      <c r="AY11" s="6">
        <f t="shared" si="28"/>
        <v>4.479494234800839E-2</v>
      </c>
      <c r="AZ11" s="6"/>
      <c r="BA11" s="179">
        <f t="shared" si="53"/>
        <v>5.1478150704934993E-2</v>
      </c>
      <c r="BB11" s="179">
        <f t="shared" si="29"/>
        <v>0.49613506225623683</v>
      </c>
      <c r="BC11" s="179">
        <f t="shared" si="30"/>
        <v>0.24103895107948839</v>
      </c>
      <c r="BD11" s="179"/>
      <c r="BE11" s="546">
        <f t="shared" si="31"/>
        <v>9.2749999999999961E-4</v>
      </c>
      <c r="BF11" s="546">
        <f t="shared" si="32"/>
        <v>2.1146999999999996E-2</v>
      </c>
      <c r="BG11" s="546">
        <f t="shared" si="33"/>
        <v>2.9444444444444435E-3</v>
      </c>
      <c r="BH11" s="546">
        <f t="shared" si="34"/>
        <v>1.8750339999999994E-2</v>
      </c>
      <c r="BI11">
        <f t="shared" si="35"/>
        <v>6.96E-3</v>
      </c>
      <c r="BJ11">
        <f t="shared" si="36"/>
        <v>5.087084575326406E-2</v>
      </c>
      <c r="BK11" s="472">
        <f t="shared" si="54"/>
        <v>50.870845753264064</v>
      </c>
      <c r="BL11" s="179">
        <f t="shared" si="37"/>
        <v>2.3279999999999999E-2</v>
      </c>
      <c r="BM11" s="179">
        <f t="shared" si="38"/>
        <v>1.1639999999999999E-2</v>
      </c>
      <c r="BN11" s="546"/>
      <c r="BP11" s="472">
        <f t="shared" si="55"/>
        <v>34.92</v>
      </c>
      <c r="BQ11" s="546">
        <f t="shared" si="39"/>
        <v>5.2999999999999987E-4</v>
      </c>
      <c r="BR11" s="546">
        <f t="shared" si="56"/>
        <v>9.8459999999999989E-3</v>
      </c>
      <c r="BS11" s="546">
        <f t="shared" si="40"/>
        <v>5.8099775937499997E-3</v>
      </c>
      <c r="BT11" s="546">
        <f t="shared" si="41"/>
        <v>2.0989713942570678E-3</v>
      </c>
      <c r="BU11" s="546">
        <f t="shared" si="42"/>
        <v>2.0253492104809354E-2</v>
      </c>
      <c r="BV11" s="655">
        <f t="shared" si="43"/>
        <v>2.1199999999999999E-3</v>
      </c>
      <c r="BW11" s="472">
        <f t="shared" si="57"/>
        <v>22.373492104809355</v>
      </c>
      <c r="BX11" s="179">
        <f t="shared" si="58"/>
        <v>0.1081643378580734</v>
      </c>
      <c r="BY11" s="6">
        <f t="shared" si="59"/>
        <v>0.39899999999999997</v>
      </c>
      <c r="BZ11" s="179">
        <f t="shared" si="60"/>
        <v>0.78672724049390386</v>
      </c>
      <c r="CA11" s="6">
        <f t="shared" si="61"/>
        <v>78.672724049390382</v>
      </c>
      <c r="CB11">
        <f t="shared" si="62"/>
        <v>6</v>
      </c>
      <c r="CD11" s="581">
        <f t="shared" si="44"/>
        <v>-50</v>
      </c>
      <c r="CE11">
        <f t="shared" si="45"/>
        <v>-50</v>
      </c>
    </row>
    <row r="12" spans="2:83" x14ac:dyDescent="0.2">
      <c r="E12" s="176">
        <v>7</v>
      </c>
      <c r="F12" s="223">
        <f t="shared" si="63"/>
        <v>7.0000000000000007E-2</v>
      </c>
      <c r="G12" s="223">
        <f t="shared" si="46"/>
        <v>3.5000000000000003E-2</v>
      </c>
      <c r="H12" s="223">
        <f t="shared" si="0"/>
        <v>0.35000000000000003</v>
      </c>
      <c r="I12" s="223">
        <f t="shared" si="64"/>
        <v>0.11550000000000001</v>
      </c>
      <c r="J12" s="559">
        <f t="shared" si="1"/>
        <v>24</v>
      </c>
      <c r="K12" s="454">
        <f t="shared" si="2"/>
        <v>15.899999999999999</v>
      </c>
      <c r="L12" s="454">
        <f t="shared" si="3"/>
        <v>39.9</v>
      </c>
      <c r="M12" s="454"/>
      <c r="N12" s="223">
        <f t="shared" si="4"/>
        <v>0.39849624060150374</v>
      </c>
      <c r="O12" s="178">
        <f t="shared" si="47"/>
        <v>4.8538639832664359</v>
      </c>
      <c r="P12" s="178">
        <f t="shared" si="5"/>
        <v>2.1303609022556387</v>
      </c>
      <c r="Q12" s="223">
        <f t="shared" si="6"/>
        <v>0.9707727966532872</v>
      </c>
      <c r="R12" s="223">
        <f t="shared" si="7"/>
        <v>1.4708678737171019</v>
      </c>
      <c r="S12" s="454">
        <f t="shared" si="8"/>
        <v>5</v>
      </c>
      <c r="T12" s="223">
        <f t="shared" si="9"/>
        <v>0.10816125087351502</v>
      </c>
      <c r="U12" s="223">
        <f t="shared" si="10"/>
        <v>0.13520156359189378</v>
      </c>
      <c r="V12" s="223">
        <f t="shared" si="11"/>
        <v>0.20407783183682082</v>
      </c>
      <c r="W12" s="203">
        <f t="shared" si="12"/>
        <v>350</v>
      </c>
      <c r="X12" s="454">
        <f t="shared" si="48"/>
        <v>350</v>
      </c>
      <c r="Z12" s="223">
        <f t="shared" si="13"/>
        <v>0.91084854994629427</v>
      </c>
      <c r="AA12" s="179">
        <f t="shared" si="14"/>
        <v>1.7185821697099894</v>
      </c>
      <c r="AB12" s="179">
        <f t="shared" si="15"/>
        <v>0.82181824055304764</v>
      </c>
      <c r="AC12" s="179"/>
      <c r="AD12" s="179">
        <f t="shared" si="16"/>
        <v>0.5660377358490567</v>
      </c>
      <c r="AE12" s="563">
        <f t="shared" si="17"/>
        <v>274.81481481481478</v>
      </c>
      <c r="AF12" s="546">
        <f t="shared" si="18"/>
        <v>8.9150943396226423E-2</v>
      </c>
      <c r="AH12" s="179">
        <f t="shared" si="19"/>
        <v>0.29776948578836393</v>
      </c>
      <c r="AI12" s="179">
        <f t="shared" si="20"/>
        <v>0.3</v>
      </c>
      <c r="AJ12" s="179">
        <f t="shared" si="21"/>
        <v>1.1570370370370371</v>
      </c>
      <c r="AL12" s="563">
        <f t="shared" si="22"/>
        <v>70</v>
      </c>
      <c r="AM12" s="472">
        <f t="shared" si="23"/>
        <v>274.81481481481478</v>
      </c>
      <c r="AO12">
        <f t="shared" si="49"/>
        <v>70</v>
      </c>
      <c r="AP12" s="472">
        <f t="shared" si="24"/>
        <v>274.81481481481478</v>
      </c>
      <c r="AQ12" s="472"/>
      <c r="AR12" s="6">
        <f t="shared" si="50"/>
        <v>3.6388140161725073</v>
      </c>
      <c r="AS12" s="6">
        <f t="shared" si="25"/>
        <v>0.375</v>
      </c>
      <c r="AT12" s="6">
        <f t="shared" si="51"/>
        <v>3.2638140161725073</v>
      </c>
      <c r="AU12" s="179">
        <f t="shared" si="52"/>
        <v>0.10305555555555554</v>
      </c>
      <c r="AW12" s="6">
        <f t="shared" si="26"/>
        <v>0.52500000000000002</v>
      </c>
      <c r="AX12" s="6">
        <f t="shared" si="27"/>
        <v>0.39772727272727276</v>
      </c>
      <c r="AY12" s="6">
        <f t="shared" si="28"/>
        <v>4.4071562718378754E-2</v>
      </c>
      <c r="AZ12" s="6"/>
      <c r="BA12" s="179">
        <f t="shared" si="53"/>
        <v>5.5602757725374256E-2</v>
      </c>
      <c r="BB12" s="179">
        <f t="shared" si="29"/>
        <v>0.49211279194916269</v>
      </c>
      <c r="BC12" s="179">
        <f t="shared" si="30"/>
        <v>0.23908479808863486</v>
      </c>
      <c r="BD12" s="179"/>
      <c r="BE12" s="546">
        <f t="shared" si="31"/>
        <v>1.0820833333333333E-3</v>
      </c>
      <c r="BF12" s="546">
        <f t="shared" si="32"/>
        <v>2.4671499999999992E-2</v>
      </c>
      <c r="BG12" s="546">
        <f t="shared" si="33"/>
        <v>3.4351851851851848E-3</v>
      </c>
      <c r="BH12" s="546">
        <f t="shared" si="34"/>
        <v>2.1875396666666661E-2</v>
      </c>
      <c r="BI12">
        <f t="shared" si="35"/>
        <v>6.96E-3</v>
      </c>
      <c r="BJ12">
        <f t="shared" si="36"/>
        <v>5.819206507717533E-2</v>
      </c>
      <c r="BK12" s="472">
        <f t="shared" si="54"/>
        <v>58.192065077175329</v>
      </c>
      <c r="BL12" s="179">
        <f t="shared" si="37"/>
        <v>2.7160000000000004E-2</v>
      </c>
      <c r="BM12" s="179">
        <f t="shared" si="38"/>
        <v>1.3580000000000002E-2</v>
      </c>
      <c r="BN12" s="546"/>
      <c r="BP12" s="472">
        <f t="shared" si="55"/>
        <v>40.74</v>
      </c>
      <c r="BQ12" s="546">
        <f t="shared" si="39"/>
        <v>6.1833333333333336E-4</v>
      </c>
      <c r="BR12" s="546">
        <f t="shared" si="56"/>
        <v>9.686999999999996E-3</v>
      </c>
      <c r="BS12" s="546">
        <f t="shared" si="40"/>
        <v>5.7161540677083305E-3</v>
      </c>
      <c r="BT12" s="546">
        <f t="shared" si="41"/>
        <v>3.0858406372140197E-3</v>
      </c>
      <c r="BU12" s="546">
        <f t="shared" si="42"/>
        <v>2.1056895549320557E-2</v>
      </c>
      <c r="BV12" s="655">
        <f t="shared" si="43"/>
        <v>2.4733333333333335E-3</v>
      </c>
      <c r="BW12" s="472">
        <f t="shared" si="57"/>
        <v>23.530228882653891</v>
      </c>
      <c r="BX12" s="179">
        <f t="shared" si="58"/>
        <v>0.12246229395982922</v>
      </c>
      <c r="BY12" s="6">
        <f t="shared" si="59"/>
        <v>0.46550000000000002</v>
      </c>
      <c r="BZ12" s="179">
        <f t="shared" si="60"/>
        <v>0.79171743627458513</v>
      </c>
      <c r="CA12" s="6">
        <f t="shared" si="61"/>
        <v>79.171743627458511</v>
      </c>
      <c r="CB12">
        <f t="shared" si="62"/>
        <v>7.0000000000000009</v>
      </c>
      <c r="CD12" s="581">
        <f t="shared" si="44"/>
        <v>-50</v>
      </c>
      <c r="CE12">
        <f t="shared" si="45"/>
        <v>-50</v>
      </c>
    </row>
    <row r="13" spans="2:83" s="78" customFormat="1" x14ac:dyDescent="0.2">
      <c r="E13" s="195">
        <v>8</v>
      </c>
      <c r="F13" s="223">
        <f t="shared" si="63"/>
        <v>0.08</v>
      </c>
      <c r="G13" s="223">
        <f t="shared" si="46"/>
        <v>0.04</v>
      </c>
      <c r="H13" s="223">
        <f t="shared" si="0"/>
        <v>0.4</v>
      </c>
      <c r="I13" s="223">
        <f t="shared" si="64"/>
        <v>0.13200000000000001</v>
      </c>
      <c r="J13" s="559">
        <f t="shared" si="1"/>
        <v>24</v>
      </c>
      <c r="K13" s="454">
        <f t="shared" si="2"/>
        <v>15.899999999999999</v>
      </c>
      <c r="L13" s="553">
        <f t="shared" si="3"/>
        <v>39.9</v>
      </c>
      <c r="M13" s="553"/>
      <c r="N13" s="335">
        <f t="shared" si="4"/>
        <v>0.39849624060150374</v>
      </c>
      <c r="O13" s="178">
        <f t="shared" si="47"/>
        <v>4.8538639832664359</v>
      </c>
      <c r="P13" s="178">
        <f t="shared" si="5"/>
        <v>2.1303609022556387</v>
      </c>
      <c r="Q13" s="335">
        <f t="shared" si="6"/>
        <v>0.9707727966532872</v>
      </c>
      <c r="R13" s="223">
        <f t="shared" si="7"/>
        <v>1.4708678737171019</v>
      </c>
      <c r="S13" s="454">
        <f t="shared" si="8"/>
        <v>5</v>
      </c>
      <c r="T13" s="223">
        <f t="shared" si="9"/>
        <v>0.12361285814116003</v>
      </c>
      <c r="U13" s="335">
        <f t="shared" si="10"/>
        <v>0.15451607267645004</v>
      </c>
      <c r="V13" s="223">
        <f t="shared" si="11"/>
        <v>0.23323180781350952</v>
      </c>
      <c r="W13" s="555">
        <f t="shared" si="12"/>
        <v>350</v>
      </c>
      <c r="X13" s="553">
        <f t="shared" si="48"/>
        <v>350</v>
      </c>
      <c r="Z13" s="335">
        <f t="shared" si="13"/>
        <v>0.91084854994629427</v>
      </c>
      <c r="AA13" s="179">
        <f t="shared" si="14"/>
        <v>1.7185821697099894</v>
      </c>
      <c r="AB13" s="179">
        <f t="shared" si="15"/>
        <v>0.82181824055304764</v>
      </c>
      <c r="AC13" s="556"/>
      <c r="AD13" s="179">
        <f t="shared" si="16"/>
        <v>0.5660377358490567</v>
      </c>
      <c r="AE13" s="563">
        <f t="shared" si="17"/>
        <v>314.07407407407402</v>
      </c>
      <c r="AF13" s="546">
        <f t="shared" si="18"/>
        <v>8.9150943396226423E-2</v>
      </c>
      <c r="AG13"/>
      <c r="AH13" s="179">
        <f t="shared" si="19"/>
        <v>0.31832897030168861</v>
      </c>
      <c r="AI13" s="179">
        <f t="shared" si="20"/>
        <v>0.31832897030168861</v>
      </c>
      <c r="AJ13" s="179">
        <f t="shared" si="21"/>
        <v>1.1794708994708993</v>
      </c>
      <c r="AL13" s="563">
        <f t="shared" si="22"/>
        <v>80</v>
      </c>
      <c r="AM13" s="472">
        <f t="shared" si="23"/>
        <v>314.07407407407402</v>
      </c>
      <c r="AO13">
        <f t="shared" si="49"/>
        <v>80</v>
      </c>
      <c r="AP13" s="472">
        <f t="shared" si="24"/>
        <v>314.07407407407402</v>
      </c>
      <c r="AQ13" s="472"/>
      <c r="AR13" s="6">
        <f t="shared" si="50"/>
        <v>3.183962264150944</v>
      </c>
      <c r="AS13" s="6">
        <f t="shared" si="25"/>
        <v>0.39791121287711079</v>
      </c>
      <c r="AT13" s="6">
        <f t="shared" si="51"/>
        <v>2.7860510512738332</v>
      </c>
      <c r="AU13" s="179">
        <f t="shared" si="52"/>
        <v>0.12497359574807033</v>
      </c>
      <c r="AW13" s="6">
        <f t="shared" si="26"/>
        <v>0.63665794060337733</v>
      </c>
      <c r="AX13" s="6">
        <f t="shared" si="27"/>
        <v>0.48231662166922529</v>
      </c>
      <c r="AY13" s="6">
        <f t="shared" si="28"/>
        <v>4.2994614988793721E-2</v>
      </c>
      <c r="AZ13" s="6"/>
      <c r="BA13" s="179">
        <f t="shared" si="53"/>
        <v>6.4971765754581079E-2</v>
      </c>
      <c r="BB13" s="179">
        <f t="shared" si="29"/>
        <v>0.51575966000898776</v>
      </c>
      <c r="BC13" s="179">
        <f t="shared" si="30"/>
        <v>0.25057323482103322</v>
      </c>
      <c r="BD13" s="179"/>
      <c r="BE13" s="546">
        <f t="shared" si="31"/>
        <v>1.477465620843854E-3</v>
      </c>
      <c r="BF13" s="546">
        <f t="shared" si="32"/>
        <v>2.991867882208803E-2</v>
      </c>
      <c r="BG13" s="546">
        <f t="shared" si="33"/>
        <v>3.9259259259259256E-3</v>
      </c>
      <c r="BH13" s="546">
        <f t="shared" si="34"/>
        <v>2.5000453333333329E-2</v>
      </c>
      <c r="BI13">
        <f t="shared" si="35"/>
        <v>6.96E-3</v>
      </c>
      <c r="BJ13">
        <f t="shared" si="36"/>
        <v>6.7516546105688302E-2</v>
      </c>
      <c r="BK13" s="472">
        <f t="shared" si="54"/>
        <v>67.516546105688306</v>
      </c>
      <c r="BL13" s="179">
        <f t="shared" si="37"/>
        <v>3.1039999999999998E-2</v>
      </c>
      <c r="BM13" s="179">
        <f t="shared" si="38"/>
        <v>1.5519999999999999E-2</v>
      </c>
      <c r="BN13" s="546"/>
      <c r="BP13" s="472">
        <f t="shared" si="55"/>
        <v>46.559999999999995</v>
      </c>
      <c r="BQ13" s="546">
        <f t="shared" si="39"/>
        <v>8.4426606905363107E-4</v>
      </c>
      <c r="BR13" s="546">
        <f t="shared" si="56"/>
        <v>1.0640321075703466E-2</v>
      </c>
      <c r="BS13" s="546">
        <f t="shared" si="40"/>
        <v>6.278694600867666E-3</v>
      </c>
      <c r="BT13" s="546">
        <f t="shared" si="41"/>
        <v>4.9973599931030215E-3</v>
      </c>
      <c r="BU13" s="546">
        <f t="shared" si="42"/>
        <v>2.4927659311050853E-2</v>
      </c>
      <c r="BV13" s="655">
        <f t="shared" si="43"/>
        <v>3.1826172839506169E-3</v>
      </c>
      <c r="BW13" s="472">
        <f t="shared" si="57"/>
        <v>28.110276595001469</v>
      </c>
      <c r="BX13" s="179">
        <f t="shared" si="58"/>
        <v>0.14218682270068975</v>
      </c>
      <c r="BY13" s="6">
        <f t="shared" si="59"/>
        <v>0.53200000000000003</v>
      </c>
      <c r="BZ13" s="179">
        <f t="shared" si="60"/>
        <v>0.78909878106025422</v>
      </c>
      <c r="CA13" s="6">
        <f t="shared" si="61"/>
        <v>78.909878106025417</v>
      </c>
      <c r="CB13">
        <f t="shared" si="62"/>
        <v>8</v>
      </c>
      <c r="CD13" s="581">
        <f t="shared" si="44"/>
        <v>-50</v>
      </c>
      <c r="CE13">
        <f t="shared" si="45"/>
        <v>-50</v>
      </c>
    </row>
    <row r="14" spans="2:83" x14ac:dyDescent="0.2">
      <c r="E14" s="176">
        <v>9</v>
      </c>
      <c r="F14" s="223">
        <f t="shared" si="63"/>
        <v>0.09</v>
      </c>
      <c r="G14" s="223">
        <f t="shared" si="46"/>
        <v>4.4999999999999998E-2</v>
      </c>
      <c r="H14" s="223">
        <f t="shared" si="0"/>
        <v>0.44999999999999996</v>
      </c>
      <c r="I14" s="223">
        <f t="shared" si="64"/>
        <v>0.14849999999999999</v>
      </c>
      <c r="J14" s="559">
        <f t="shared" si="1"/>
        <v>24</v>
      </c>
      <c r="K14" s="454">
        <f t="shared" si="2"/>
        <v>15.899999999999999</v>
      </c>
      <c r="L14" s="454">
        <f t="shared" si="3"/>
        <v>39.9</v>
      </c>
      <c r="M14" s="454"/>
      <c r="N14" s="223">
        <f t="shared" si="4"/>
        <v>0.39849624060150374</v>
      </c>
      <c r="O14" s="178">
        <f t="shared" si="47"/>
        <v>4.8538639832664359</v>
      </c>
      <c r="P14" s="178">
        <f t="shared" si="5"/>
        <v>2.1303609022556387</v>
      </c>
      <c r="Q14" s="223">
        <f t="shared" si="6"/>
        <v>0.9707727966532872</v>
      </c>
      <c r="R14" s="223">
        <f t="shared" si="7"/>
        <v>1.4708678737171019</v>
      </c>
      <c r="S14" s="454">
        <f t="shared" si="8"/>
        <v>5</v>
      </c>
      <c r="T14" s="223">
        <f t="shared" si="9"/>
        <v>0.13906446540880502</v>
      </c>
      <c r="U14" s="223">
        <f t="shared" si="10"/>
        <v>0.17383058176100627</v>
      </c>
      <c r="V14" s="223">
        <f t="shared" si="11"/>
        <v>0.26238578379019817</v>
      </c>
      <c r="W14" s="203">
        <f t="shared" si="12"/>
        <v>350</v>
      </c>
      <c r="X14" s="454">
        <f t="shared" si="48"/>
        <v>350</v>
      </c>
      <c r="Z14" s="223">
        <f t="shared" si="13"/>
        <v>0.91084854994629427</v>
      </c>
      <c r="AA14" s="179">
        <f t="shared" si="14"/>
        <v>1.7185821697099894</v>
      </c>
      <c r="AB14" s="179">
        <f t="shared" si="15"/>
        <v>0.82181824055304764</v>
      </c>
      <c r="AC14" s="179"/>
      <c r="AD14" s="179">
        <f t="shared" si="16"/>
        <v>0.5660377358490567</v>
      </c>
      <c r="AE14" s="563">
        <f t="shared" si="17"/>
        <v>353.33333333333326</v>
      </c>
      <c r="AF14" s="546">
        <f t="shared" si="18"/>
        <v>8.9150943396226423E-2</v>
      </c>
      <c r="AH14" s="179">
        <f t="shared" si="19"/>
        <v>0.33763886032268264</v>
      </c>
      <c r="AI14" s="179">
        <f t="shared" si="20"/>
        <v>0.33763886032268264</v>
      </c>
      <c r="AJ14" s="179">
        <f t="shared" si="21"/>
        <v>1.2278806372760611</v>
      </c>
      <c r="AL14" s="563">
        <f t="shared" si="22"/>
        <v>90</v>
      </c>
      <c r="AM14" s="472">
        <f t="shared" si="23"/>
        <v>350</v>
      </c>
      <c r="AO14">
        <f t="shared" si="49"/>
        <v>90</v>
      </c>
      <c r="AP14" s="472">
        <f t="shared" si="24"/>
        <v>350</v>
      </c>
      <c r="AQ14" s="472"/>
      <c r="AR14" s="6">
        <f t="shared" si="50"/>
        <v>2.8571428571428572</v>
      </c>
      <c r="AS14" s="6">
        <f t="shared" si="25"/>
        <v>0.42204857540335333</v>
      </c>
      <c r="AT14" s="6">
        <f t="shared" si="51"/>
        <v>2.435094281739504</v>
      </c>
      <c r="AU14" s="179">
        <f t="shared" si="52"/>
        <v>0.14771700139117366</v>
      </c>
      <c r="AW14" s="6">
        <f t="shared" si="26"/>
        <v>0.75968743572603592</v>
      </c>
      <c r="AX14" s="6">
        <f t="shared" si="27"/>
        <v>0.57552078464093637</v>
      </c>
      <c r="AY14" s="6">
        <f t="shared" si="28"/>
        <v>4.2275942391310821E-2</v>
      </c>
      <c r="AZ14" s="6"/>
      <c r="BA14" s="179">
        <f t="shared" si="53"/>
        <v>7.4921599374710365E-2</v>
      </c>
      <c r="BB14" s="179">
        <f t="shared" si="29"/>
        <v>0.53988960494180538</v>
      </c>
      <c r="BC14" s="179">
        <f t="shared" si="30"/>
        <v>0.26229636640089377</v>
      </c>
      <c r="BD14" s="179"/>
      <c r="BE14" s="546">
        <f t="shared" si="31"/>
        <v>1.9646361185026101E-3</v>
      </c>
      <c r="BF14" s="546">
        <f t="shared" si="32"/>
        <v>3.5363450133046967E-2</v>
      </c>
      <c r="BG14" s="546">
        <f t="shared" si="33"/>
        <v>4.3749999999999995E-3</v>
      </c>
      <c r="BH14" s="546">
        <f t="shared" si="34"/>
        <v>2.7860175000000001E-2</v>
      </c>
      <c r="BI14">
        <f t="shared" si="35"/>
        <v>6.96E-3</v>
      </c>
      <c r="BJ14">
        <f t="shared" si="36"/>
        <v>7.6840796224107416E-2</v>
      </c>
      <c r="BK14" s="472">
        <f t="shared" si="54"/>
        <v>76.840796224107422</v>
      </c>
      <c r="BL14" s="179">
        <f t="shared" si="37"/>
        <v>3.492E-2</v>
      </c>
      <c r="BM14" s="179">
        <f t="shared" si="38"/>
        <v>1.746E-2</v>
      </c>
      <c r="BN14" s="546"/>
      <c r="BP14" s="472">
        <f t="shared" si="55"/>
        <v>52.379999999999995</v>
      </c>
      <c r="BQ14" s="546">
        <f t="shared" si="39"/>
        <v>1.1226492105729201E-3</v>
      </c>
      <c r="BR14" s="546">
        <f t="shared" si="56"/>
        <v>1.1659231420968749E-2</v>
      </c>
      <c r="BS14" s="546">
        <f t="shared" si="40"/>
        <v>6.8799383827111912E-3</v>
      </c>
      <c r="BT14" s="546">
        <f t="shared" si="41"/>
        <v>7.5905138909869987E-3</v>
      </c>
      <c r="BU14" s="546">
        <f t="shared" si="42"/>
        <v>2.9658402237914504E-2</v>
      </c>
      <c r="BV14" s="655">
        <f t="shared" si="43"/>
        <v>3.9900000000000005E-3</v>
      </c>
      <c r="BW14" s="472">
        <f t="shared" si="57"/>
        <v>33.648402237914503</v>
      </c>
      <c r="BX14" s="179">
        <f t="shared" si="58"/>
        <v>0.16286919846202191</v>
      </c>
      <c r="BY14" s="6">
        <f t="shared" si="59"/>
        <v>0.59849999999999992</v>
      </c>
      <c r="BZ14" s="179">
        <f t="shared" si="60"/>
        <v>0.78608380954861268</v>
      </c>
      <c r="CA14" s="6">
        <f t="shared" si="61"/>
        <v>78.608380954861275</v>
      </c>
      <c r="CB14">
        <f t="shared" si="62"/>
        <v>9</v>
      </c>
      <c r="CD14" s="581">
        <f t="shared" si="44"/>
        <v>-50</v>
      </c>
      <c r="CE14">
        <f t="shared" si="45"/>
        <v>-50</v>
      </c>
    </row>
    <row r="15" spans="2:83" x14ac:dyDescent="0.2">
      <c r="E15" s="176">
        <v>10</v>
      </c>
      <c r="F15" s="223">
        <f t="shared" si="63"/>
        <v>0.1</v>
      </c>
      <c r="G15" s="223">
        <f t="shared" si="46"/>
        <v>0.05</v>
      </c>
      <c r="H15" s="223">
        <f t="shared" si="0"/>
        <v>0.5</v>
      </c>
      <c r="I15" s="223">
        <f t="shared" si="64"/>
        <v>0.16500000000000001</v>
      </c>
      <c r="J15" s="559">
        <f t="shared" si="1"/>
        <v>24</v>
      </c>
      <c r="K15" s="454">
        <f t="shared" si="2"/>
        <v>15.899999999999999</v>
      </c>
      <c r="L15" s="454">
        <f t="shared" si="3"/>
        <v>39.9</v>
      </c>
      <c r="M15" s="454"/>
      <c r="N15" s="223">
        <f t="shared" si="4"/>
        <v>0.39849624060150374</v>
      </c>
      <c r="O15" s="178">
        <f t="shared" si="47"/>
        <v>4.8538639832664359</v>
      </c>
      <c r="P15" s="178">
        <f t="shared" si="5"/>
        <v>2.1303609022556387</v>
      </c>
      <c r="Q15" s="223">
        <f t="shared" si="6"/>
        <v>0.9707727966532872</v>
      </c>
      <c r="R15" s="223">
        <f t="shared" si="7"/>
        <v>1.4708678737171019</v>
      </c>
      <c r="S15" s="454">
        <f t="shared" si="8"/>
        <v>5</v>
      </c>
      <c r="T15" s="223">
        <f t="shared" si="9"/>
        <v>0.15451607267645004</v>
      </c>
      <c r="U15" s="223">
        <f t="shared" si="10"/>
        <v>0.19314509084556256</v>
      </c>
      <c r="V15" s="223">
        <f t="shared" si="11"/>
        <v>0.2915397597668869</v>
      </c>
      <c r="W15" s="203">
        <f t="shared" si="12"/>
        <v>350</v>
      </c>
      <c r="X15" s="454">
        <f t="shared" si="48"/>
        <v>350</v>
      </c>
      <c r="Z15" s="223">
        <f t="shared" si="13"/>
        <v>0.91084854994629427</v>
      </c>
      <c r="AA15" s="179">
        <f t="shared" si="14"/>
        <v>1.7185821697099894</v>
      </c>
      <c r="AB15" s="179">
        <f t="shared" si="15"/>
        <v>0.82181824055304764</v>
      </c>
      <c r="AC15" s="179"/>
      <c r="AD15" s="179">
        <f t="shared" si="16"/>
        <v>0.5660377358490567</v>
      </c>
      <c r="AE15" s="563">
        <f t="shared" si="17"/>
        <v>392.59259259259255</v>
      </c>
      <c r="AF15" s="546">
        <f t="shared" si="18"/>
        <v>8.9150943396226423E-2</v>
      </c>
      <c r="AH15" s="179">
        <f t="shared" si="19"/>
        <v>0.35590260840104371</v>
      </c>
      <c r="AI15" s="179">
        <f t="shared" si="20"/>
        <v>0.35590260840104371</v>
      </c>
      <c r="AJ15" s="179">
        <f t="shared" si="21"/>
        <v>1.2414093395563286</v>
      </c>
      <c r="AL15" s="563">
        <f t="shared" si="22"/>
        <v>100</v>
      </c>
      <c r="AM15" s="472">
        <f t="shared" si="23"/>
        <v>350</v>
      </c>
      <c r="AO15">
        <f t="shared" si="49"/>
        <v>100</v>
      </c>
      <c r="AP15" s="472">
        <f t="shared" si="24"/>
        <v>350</v>
      </c>
      <c r="AQ15" s="472"/>
      <c r="AR15" s="6">
        <f t="shared" si="50"/>
        <v>2.8571428571428572</v>
      </c>
      <c r="AS15" s="6">
        <f t="shared" si="25"/>
        <v>0.44487826050130463</v>
      </c>
      <c r="AT15" s="6">
        <f t="shared" si="51"/>
        <v>2.4122645966415526</v>
      </c>
      <c r="AU15" s="179">
        <f t="shared" si="52"/>
        <v>0.15570739117545662</v>
      </c>
      <c r="AW15" s="6">
        <f t="shared" si="26"/>
        <v>0.88975652100260927</v>
      </c>
      <c r="AX15" s="6">
        <f t="shared" si="27"/>
        <v>0.67405797045652216</v>
      </c>
      <c r="AY15" s="6">
        <f t="shared" si="28"/>
        <v>4.6532881879659579E-2</v>
      </c>
      <c r="AZ15" s="6"/>
      <c r="BA15" s="179">
        <f t="shared" si="53"/>
        <v>8.1082131643492289E-2</v>
      </c>
      <c r="BB15" s="179">
        <f t="shared" si="29"/>
        <v>0.56641962479536889</v>
      </c>
      <c r="BC15" s="179">
        <f t="shared" si="30"/>
        <v>0.27518553437975007</v>
      </c>
      <c r="BD15" s="179"/>
      <c r="BE15" s="546">
        <f t="shared" si="31"/>
        <v>2.3010092251484148E-3</v>
      </c>
      <c r="BF15" s="546">
        <f t="shared" si="32"/>
        <v>3.7276349447404315E-2</v>
      </c>
      <c r="BG15" s="546">
        <f t="shared" si="33"/>
        <v>4.3749999999999995E-3</v>
      </c>
      <c r="BH15" s="546">
        <f t="shared" si="34"/>
        <v>2.7860175000000001E-2</v>
      </c>
      <c r="BI15">
        <f t="shared" si="35"/>
        <v>6.96E-3</v>
      </c>
      <c r="BJ15">
        <f t="shared" si="36"/>
        <v>7.9146273217564317E-2</v>
      </c>
      <c r="BK15" s="472">
        <f t="shared" si="54"/>
        <v>79.146273217564314</v>
      </c>
      <c r="BL15" s="179">
        <f t="shared" si="37"/>
        <v>3.8800000000000008E-2</v>
      </c>
      <c r="BM15" s="179">
        <f t="shared" si="38"/>
        <v>1.9400000000000004E-2</v>
      </c>
      <c r="BN15" s="546"/>
      <c r="BP15" s="472">
        <f t="shared" si="55"/>
        <v>58.200000000000017</v>
      </c>
      <c r="BQ15" s="546">
        <f t="shared" si="39"/>
        <v>1.3148624143705229E-3</v>
      </c>
      <c r="BR15" s="546">
        <f t="shared" si="56"/>
        <v>1.2833247654133059E-2</v>
      </c>
      <c r="BS15" s="546">
        <f t="shared" si="40"/>
        <v>7.5727078331868612E-3</v>
      </c>
      <c r="BT15" s="546">
        <f t="shared" si="41"/>
        <v>8.6590060400406725E-3</v>
      </c>
      <c r="BU15" s="546">
        <f t="shared" si="42"/>
        <v>3.3043741056516307E-2</v>
      </c>
      <c r="BV15" s="655">
        <f t="shared" si="43"/>
        <v>4.4333333333333343E-3</v>
      </c>
      <c r="BW15" s="472">
        <f t="shared" si="57"/>
        <v>37.477074389849641</v>
      </c>
      <c r="BX15" s="179">
        <f t="shared" si="58"/>
        <v>0.17482334760741397</v>
      </c>
      <c r="BY15" s="6">
        <f t="shared" si="59"/>
        <v>0.66500000000000004</v>
      </c>
      <c r="BZ15" s="179">
        <f t="shared" si="60"/>
        <v>0.79183318955650506</v>
      </c>
      <c r="CA15" s="6">
        <f t="shared" si="61"/>
        <v>79.183318955650506</v>
      </c>
      <c r="CB15">
        <f t="shared" si="62"/>
        <v>10</v>
      </c>
      <c r="CD15" s="581">
        <f t="shared" si="44"/>
        <v>-50</v>
      </c>
      <c r="CE15">
        <f t="shared" si="45"/>
        <v>-50</v>
      </c>
    </row>
    <row r="16" spans="2:83" x14ac:dyDescent="0.2">
      <c r="E16" s="176">
        <v>11</v>
      </c>
      <c r="F16" s="223">
        <f t="shared" si="63"/>
        <v>0.11</v>
      </c>
      <c r="G16" s="223">
        <f t="shared" si="46"/>
        <v>5.5E-2</v>
      </c>
      <c r="H16" s="223">
        <f t="shared" si="0"/>
        <v>0.55000000000000004</v>
      </c>
      <c r="I16" s="223">
        <f t="shared" si="64"/>
        <v>0.18149999999999999</v>
      </c>
      <c r="J16" s="559">
        <f t="shared" si="1"/>
        <v>24</v>
      </c>
      <c r="K16" s="454">
        <f t="shared" si="2"/>
        <v>15.899999999999999</v>
      </c>
      <c r="L16" s="454">
        <f t="shared" si="3"/>
        <v>39.9</v>
      </c>
      <c r="M16" s="454"/>
      <c r="N16" s="223">
        <f t="shared" si="4"/>
        <v>0.39849624060150374</v>
      </c>
      <c r="O16" s="178">
        <f t="shared" si="47"/>
        <v>4.8538639832664359</v>
      </c>
      <c r="P16" s="178">
        <f t="shared" si="5"/>
        <v>2.1303609022556387</v>
      </c>
      <c r="Q16" s="223">
        <f t="shared" si="6"/>
        <v>0.9707727966532872</v>
      </c>
      <c r="R16" s="223">
        <f t="shared" si="7"/>
        <v>1.4708678737171019</v>
      </c>
      <c r="S16" s="454">
        <f t="shared" si="8"/>
        <v>5</v>
      </c>
      <c r="T16" s="223">
        <f t="shared" si="9"/>
        <v>0.16996767994409503</v>
      </c>
      <c r="U16" s="223">
        <f t="shared" si="10"/>
        <v>0.21245959993011879</v>
      </c>
      <c r="V16" s="223">
        <f t="shared" si="11"/>
        <v>0.32069373574357551</v>
      </c>
      <c r="W16" s="203">
        <f t="shared" si="12"/>
        <v>350</v>
      </c>
      <c r="X16" s="454">
        <f t="shared" si="48"/>
        <v>350</v>
      </c>
      <c r="Z16" s="223">
        <f t="shared" si="13"/>
        <v>0.91084854994629427</v>
      </c>
      <c r="AA16" s="179">
        <f t="shared" si="14"/>
        <v>1.7185821697099894</v>
      </c>
      <c r="AB16" s="179">
        <f t="shared" si="15"/>
        <v>0.82181824055304764</v>
      </c>
      <c r="AC16" s="179"/>
      <c r="AD16" s="179">
        <f t="shared" si="16"/>
        <v>0.5660377358490567</v>
      </c>
      <c r="AE16" s="563">
        <f t="shared" si="17"/>
        <v>431.85185185185185</v>
      </c>
      <c r="AF16" s="546">
        <f t="shared" si="18"/>
        <v>8.9150943396226423E-2</v>
      </c>
      <c r="AH16" s="179">
        <f t="shared" si="19"/>
        <v>0.37327380477785116</v>
      </c>
      <c r="AI16" s="179">
        <f t="shared" si="20"/>
        <v>0.37327380477785116</v>
      </c>
      <c r="AJ16" s="179">
        <f t="shared" si="21"/>
        <v>1.2542768924280379</v>
      </c>
      <c r="AL16" s="563">
        <f t="shared" si="22"/>
        <v>110</v>
      </c>
      <c r="AM16" s="472">
        <f t="shared" si="23"/>
        <v>350</v>
      </c>
      <c r="AO16">
        <f t="shared" si="49"/>
        <v>110</v>
      </c>
      <c r="AP16" s="472">
        <f t="shared" si="24"/>
        <v>350</v>
      </c>
      <c r="AQ16" s="472"/>
      <c r="AR16" s="6">
        <f t="shared" si="50"/>
        <v>2.8571428571428572</v>
      </c>
      <c r="AS16" s="6">
        <f t="shared" si="25"/>
        <v>0.46659225597231391</v>
      </c>
      <c r="AT16" s="6">
        <f t="shared" si="51"/>
        <v>2.3905506011705433</v>
      </c>
      <c r="AU16" s="179">
        <f t="shared" si="52"/>
        <v>0.16330728959030985</v>
      </c>
      <c r="AW16" s="6">
        <f t="shared" si="26"/>
        <v>1.0265029631390905</v>
      </c>
      <c r="AX16" s="6">
        <f t="shared" si="27"/>
        <v>0.77765375995385644</v>
      </c>
      <c r="AY16" s="6">
        <f t="shared" si="28"/>
        <v>5.0725417848911984E-2</v>
      </c>
      <c r="AZ16" s="6"/>
      <c r="BA16" s="179">
        <f t="shared" si="53"/>
        <v>8.7090276947257128E-2</v>
      </c>
      <c r="BB16" s="179">
        <f t="shared" si="29"/>
        <v>0.59138612847381744</v>
      </c>
      <c r="BC16" s="179">
        <f t="shared" si="30"/>
        <v>0.28731509408352968</v>
      </c>
      <c r="BD16" s="179"/>
      <c r="BE16" s="546">
        <f t="shared" si="31"/>
        <v>2.6546507185624809E-3</v>
      </c>
      <c r="BF16" s="546">
        <f t="shared" si="32"/>
        <v>3.9095765127920179E-2</v>
      </c>
      <c r="BG16" s="546">
        <f t="shared" si="33"/>
        <v>4.3749999999999995E-3</v>
      </c>
      <c r="BH16" s="546">
        <f t="shared" si="34"/>
        <v>2.7860175000000001E-2</v>
      </c>
      <c r="BI16">
        <f t="shared" si="35"/>
        <v>6.96E-3</v>
      </c>
      <c r="BJ16">
        <f t="shared" si="36"/>
        <v>8.1378823903925174E-2</v>
      </c>
      <c r="BK16" s="472">
        <f t="shared" si="54"/>
        <v>81.378823903925181</v>
      </c>
      <c r="BL16" s="179">
        <f t="shared" si="37"/>
        <v>4.2680000000000003E-2</v>
      </c>
      <c r="BM16" s="179">
        <f t="shared" si="38"/>
        <v>2.1340000000000001E-2</v>
      </c>
      <c r="BN16" s="546"/>
      <c r="BP16" s="472">
        <f t="shared" si="55"/>
        <v>64.02000000000001</v>
      </c>
      <c r="BQ16" s="546">
        <f t="shared" si="39"/>
        <v>1.5169432677499895E-3</v>
      </c>
      <c r="BR16" s="546">
        <f t="shared" si="56"/>
        <v>1.3989502118050022E-2</v>
      </c>
      <c r="BS16" s="546">
        <f t="shared" si="40"/>
        <v>8.2549963288227526E-3</v>
      </c>
      <c r="BT16" s="546">
        <f t="shared" si="41"/>
        <v>9.7545872814176014E-3</v>
      </c>
      <c r="BU16" s="546">
        <f t="shared" si="42"/>
        <v>3.6436665017161543E-2</v>
      </c>
      <c r="BV16" s="655">
        <f t="shared" si="43"/>
        <v>4.876666666666668E-3</v>
      </c>
      <c r="BW16" s="472">
        <f t="shared" si="57"/>
        <v>41.31333168382821</v>
      </c>
      <c r="BX16" s="179">
        <f t="shared" si="58"/>
        <v>0.18671215558775336</v>
      </c>
      <c r="BY16" s="6">
        <f t="shared" si="59"/>
        <v>0.73150000000000004</v>
      </c>
      <c r="BZ16" s="179">
        <f t="shared" si="60"/>
        <v>0.79665684618579491</v>
      </c>
      <c r="CA16" s="6">
        <f t="shared" si="61"/>
        <v>79.66568461857949</v>
      </c>
      <c r="CB16">
        <f t="shared" si="62"/>
        <v>11</v>
      </c>
      <c r="CD16" s="581">
        <f t="shared" si="44"/>
        <v>-50</v>
      </c>
      <c r="CE16">
        <f t="shared" si="45"/>
        <v>-50</v>
      </c>
    </row>
    <row r="17" spans="5:83" x14ac:dyDescent="0.2">
      <c r="E17" s="176">
        <v>12</v>
      </c>
      <c r="F17" s="223">
        <f t="shared" si="63"/>
        <v>0.12</v>
      </c>
      <c r="G17" s="223">
        <f t="shared" si="46"/>
        <v>0.06</v>
      </c>
      <c r="H17" s="223">
        <f t="shared" si="0"/>
        <v>0.6</v>
      </c>
      <c r="I17" s="223">
        <f t="shared" si="64"/>
        <v>0.19799999999999998</v>
      </c>
      <c r="J17" s="559">
        <f t="shared" si="1"/>
        <v>24</v>
      </c>
      <c r="K17" s="454">
        <f t="shared" si="2"/>
        <v>15.899999999999999</v>
      </c>
      <c r="L17" s="454">
        <f t="shared" si="3"/>
        <v>39.9</v>
      </c>
      <c r="M17" s="454"/>
      <c r="N17" s="223">
        <f t="shared" si="4"/>
        <v>0.39849624060150374</v>
      </c>
      <c r="O17" s="178">
        <f t="shared" si="47"/>
        <v>4.8538639832664359</v>
      </c>
      <c r="P17" s="178">
        <f t="shared" si="5"/>
        <v>2.1303609022556387</v>
      </c>
      <c r="Q17" s="223">
        <f t="shared" si="6"/>
        <v>0.9707727966532872</v>
      </c>
      <c r="R17" s="223">
        <f t="shared" si="7"/>
        <v>1.4708678737171019</v>
      </c>
      <c r="S17" s="454">
        <f t="shared" si="8"/>
        <v>5</v>
      </c>
      <c r="T17" s="223">
        <f t="shared" si="9"/>
        <v>0.18541928721174003</v>
      </c>
      <c r="U17" s="223">
        <f t="shared" si="10"/>
        <v>0.23177410901467502</v>
      </c>
      <c r="V17" s="223">
        <f t="shared" si="11"/>
        <v>0.34984771172026424</v>
      </c>
      <c r="W17" s="203">
        <f t="shared" si="12"/>
        <v>350</v>
      </c>
      <c r="X17" s="454">
        <f t="shared" si="48"/>
        <v>350</v>
      </c>
      <c r="Z17" s="223">
        <f t="shared" si="13"/>
        <v>0.91084854994629427</v>
      </c>
      <c r="AA17" s="179">
        <f t="shared" si="14"/>
        <v>1.7185821697099894</v>
      </c>
      <c r="AB17" s="179">
        <f t="shared" si="15"/>
        <v>0.82181824055304764</v>
      </c>
      <c r="AC17" s="179"/>
      <c r="AD17" s="179">
        <f t="shared" si="16"/>
        <v>0.5660377358490567</v>
      </c>
      <c r="AE17" s="563">
        <f t="shared" si="17"/>
        <v>471.11111111111103</v>
      </c>
      <c r="AF17" s="546">
        <f t="shared" si="18"/>
        <v>8.9150943396226423E-2</v>
      </c>
      <c r="AH17" s="179">
        <f t="shared" si="19"/>
        <v>0.38987177379235854</v>
      </c>
      <c r="AI17" s="179">
        <f t="shared" si="20"/>
        <v>0.38987177379235854</v>
      </c>
      <c r="AJ17" s="179">
        <f t="shared" si="21"/>
        <v>1.2665716842906358</v>
      </c>
      <c r="AL17" s="563">
        <f t="shared" si="22"/>
        <v>120</v>
      </c>
      <c r="AM17" s="472">
        <f t="shared" si="23"/>
        <v>350</v>
      </c>
      <c r="AO17">
        <f t="shared" si="49"/>
        <v>120</v>
      </c>
      <c r="AP17" s="472">
        <f t="shared" si="24"/>
        <v>350</v>
      </c>
      <c r="AQ17" s="472"/>
      <c r="AR17" s="6">
        <f t="shared" si="50"/>
        <v>2.8571428571428572</v>
      </c>
      <c r="AS17" s="6">
        <f t="shared" si="25"/>
        <v>0.48733971724044817</v>
      </c>
      <c r="AT17" s="6">
        <f t="shared" si="51"/>
        <v>2.3698031399024089</v>
      </c>
      <c r="AU17" s="179">
        <f t="shared" si="52"/>
        <v>0.17056890103415687</v>
      </c>
      <c r="AW17" s="6">
        <f t="shared" si="26"/>
        <v>1.1696153213770757</v>
      </c>
      <c r="AX17" s="6">
        <f t="shared" si="27"/>
        <v>0.88607221316445128</v>
      </c>
      <c r="AY17" s="6">
        <f t="shared" si="28"/>
        <v>5.4856554164407594E-2</v>
      </c>
      <c r="AZ17" s="6"/>
      <c r="BA17" s="179">
        <f t="shared" si="53"/>
        <v>9.2963205906408372E-2</v>
      </c>
      <c r="BB17" s="179">
        <f t="shared" si="29"/>
        <v>0.61499640741099015</v>
      </c>
      <c r="BC17" s="179">
        <f t="shared" si="30"/>
        <v>0.29878575460050599</v>
      </c>
      <c r="BD17" s="179"/>
      <c r="BE17" s="546">
        <f t="shared" si="31"/>
        <v>3.0247551783390485E-3</v>
      </c>
      <c r="BF17" s="546">
        <f t="shared" si="32"/>
        <v>4.083419490757715E-2</v>
      </c>
      <c r="BG17" s="546">
        <f t="shared" si="33"/>
        <v>4.3749999999999995E-3</v>
      </c>
      <c r="BH17" s="546">
        <f t="shared" si="34"/>
        <v>2.7860175000000001E-2</v>
      </c>
      <c r="BI17">
        <f t="shared" si="35"/>
        <v>6.96E-3</v>
      </c>
      <c r="BJ17">
        <f t="shared" si="36"/>
        <v>8.3550033959854081E-2</v>
      </c>
      <c r="BK17" s="472">
        <f t="shared" si="54"/>
        <v>83.550033959854076</v>
      </c>
      <c r="BL17" s="179">
        <f t="shared" si="37"/>
        <v>4.6559999999999997E-2</v>
      </c>
      <c r="BM17" s="179">
        <f t="shared" si="38"/>
        <v>2.3279999999999999E-2</v>
      </c>
      <c r="BN17" s="546"/>
      <c r="BP17" s="472">
        <f t="shared" si="55"/>
        <v>69.84</v>
      </c>
      <c r="BQ17" s="546">
        <f t="shared" si="39"/>
        <v>1.7284315304794563E-3</v>
      </c>
      <c r="BR17" s="546">
        <f t="shared" si="56"/>
        <v>1.5128823245136985E-2</v>
      </c>
      <c r="BS17" s="546">
        <f t="shared" si="40"/>
        <v>8.9272927152193784E-3</v>
      </c>
      <c r="BT17" s="546">
        <f t="shared" si="41"/>
        <v>1.0875383992458063E-2</v>
      </c>
      <c r="BU17" s="546">
        <f t="shared" si="42"/>
        <v>3.9836249956503006E-2</v>
      </c>
      <c r="BV17" s="655">
        <f t="shared" si="43"/>
        <v>5.3200000000000001E-3</v>
      </c>
      <c r="BW17" s="472">
        <f t="shared" si="57"/>
        <v>45.156249956503004</v>
      </c>
      <c r="BX17" s="179">
        <f t="shared" si="58"/>
        <v>0.19854628391635706</v>
      </c>
      <c r="BY17" s="6">
        <f t="shared" si="59"/>
        <v>0.79799999999999993</v>
      </c>
      <c r="BZ17" s="179">
        <f t="shared" si="60"/>
        <v>0.80076561709097538</v>
      </c>
      <c r="CA17" s="6">
        <f t="shared" si="61"/>
        <v>80.076561709097533</v>
      </c>
      <c r="CB17">
        <f t="shared" si="62"/>
        <v>12</v>
      </c>
      <c r="CD17" s="581">
        <f t="shared" si="44"/>
        <v>-50</v>
      </c>
      <c r="CE17">
        <f t="shared" si="45"/>
        <v>-50</v>
      </c>
    </row>
    <row r="18" spans="5:83" x14ac:dyDescent="0.2">
      <c r="E18" s="176">
        <v>13</v>
      </c>
      <c r="F18" s="223">
        <f t="shared" si="63"/>
        <v>0.13</v>
      </c>
      <c r="G18" s="223">
        <f t="shared" si="46"/>
        <v>6.5000000000000002E-2</v>
      </c>
      <c r="H18" s="223">
        <f t="shared" si="0"/>
        <v>0.65</v>
      </c>
      <c r="I18" s="223">
        <f t="shared" si="64"/>
        <v>0.2145</v>
      </c>
      <c r="J18" s="559">
        <f t="shared" si="1"/>
        <v>24</v>
      </c>
      <c r="K18" s="454">
        <f t="shared" si="2"/>
        <v>15.899999999999999</v>
      </c>
      <c r="L18" s="454">
        <f t="shared" si="3"/>
        <v>39.9</v>
      </c>
      <c r="M18" s="454"/>
      <c r="N18" s="223">
        <f t="shared" si="4"/>
        <v>0.39849624060150374</v>
      </c>
      <c r="O18" s="178">
        <f t="shared" si="47"/>
        <v>4.8538639832664359</v>
      </c>
      <c r="P18" s="178">
        <f t="shared" si="5"/>
        <v>2.1303609022556387</v>
      </c>
      <c r="Q18" s="223">
        <f t="shared" si="6"/>
        <v>0.9707727966532872</v>
      </c>
      <c r="R18" s="223">
        <f t="shared" si="7"/>
        <v>1.4708678737171019</v>
      </c>
      <c r="S18" s="454">
        <f t="shared" si="8"/>
        <v>5</v>
      </c>
      <c r="T18" s="223">
        <f t="shared" si="9"/>
        <v>0.20087089447938505</v>
      </c>
      <c r="U18" s="223">
        <f t="shared" si="10"/>
        <v>0.25108861809923133</v>
      </c>
      <c r="V18" s="223">
        <f t="shared" si="11"/>
        <v>0.37900168769695297</v>
      </c>
      <c r="W18" s="203">
        <f t="shared" si="12"/>
        <v>350</v>
      </c>
      <c r="X18" s="454">
        <f t="shared" si="48"/>
        <v>350</v>
      </c>
      <c r="Z18" s="223">
        <f t="shared" si="13"/>
        <v>0.91084854994629427</v>
      </c>
      <c r="AA18" s="179">
        <f t="shared" si="14"/>
        <v>1.7185821697099894</v>
      </c>
      <c r="AB18" s="179">
        <f t="shared" si="15"/>
        <v>0.82181824055304764</v>
      </c>
      <c r="AC18" s="179"/>
      <c r="AD18" s="179">
        <f t="shared" si="16"/>
        <v>0.5660377358490567</v>
      </c>
      <c r="AE18" s="563">
        <f t="shared" si="17"/>
        <v>510.37037037037027</v>
      </c>
      <c r="AF18" s="546">
        <f t="shared" si="18"/>
        <v>8.9150943396226423E-2</v>
      </c>
      <c r="AH18" s="179">
        <f t="shared" si="19"/>
        <v>0.40579140782755208</v>
      </c>
      <c r="AI18" s="179">
        <f t="shared" si="20"/>
        <v>0.40579140782755208</v>
      </c>
      <c r="AJ18" s="179">
        <f t="shared" si="21"/>
        <v>1.2783640057981867</v>
      </c>
      <c r="AL18" s="563">
        <f t="shared" si="22"/>
        <v>130</v>
      </c>
      <c r="AM18" s="472">
        <f t="shared" si="23"/>
        <v>350</v>
      </c>
      <c r="AO18">
        <f t="shared" si="49"/>
        <v>130</v>
      </c>
      <c r="AP18" s="472">
        <f t="shared" si="24"/>
        <v>350</v>
      </c>
      <c r="AQ18" s="472"/>
      <c r="AR18" s="6">
        <f t="shared" si="50"/>
        <v>2.8571428571428572</v>
      </c>
      <c r="AS18" s="6">
        <f t="shared" si="25"/>
        <v>0.50723925978444007</v>
      </c>
      <c r="AT18" s="6">
        <f t="shared" si="51"/>
        <v>2.3499035973584173</v>
      </c>
      <c r="AU18" s="179">
        <f t="shared" si="52"/>
        <v>0.17753374092455401</v>
      </c>
      <c r="AW18" s="6">
        <f t="shared" si="26"/>
        <v>1.3188220754395441</v>
      </c>
      <c r="AX18" s="6">
        <f t="shared" si="27"/>
        <v>0.99910763290874549</v>
      </c>
      <c r="AY18" s="6">
        <f t="shared" si="28"/>
        <v>5.8928909655978808E-2</v>
      </c>
      <c r="AZ18" s="6"/>
      <c r="BA18" s="179">
        <f t="shared" si="53"/>
        <v>9.8714891377322769E-2</v>
      </c>
      <c r="BB18" s="179">
        <f t="shared" si="29"/>
        <v>0.6374153527985269</v>
      </c>
      <c r="BC18" s="179">
        <f t="shared" si="30"/>
        <v>0.30967762556795092</v>
      </c>
      <c r="BD18" s="179"/>
      <c r="BE18" s="546">
        <f t="shared" si="31"/>
        <v>3.410620422872821E-3</v>
      </c>
      <c r="BF18" s="546">
        <f t="shared" si="32"/>
        <v>4.2501577577338231E-2</v>
      </c>
      <c r="BG18" s="546">
        <f t="shared" si="33"/>
        <v>4.3749999999999995E-3</v>
      </c>
      <c r="BH18" s="546">
        <f t="shared" si="34"/>
        <v>2.7860175000000001E-2</v>
      </c>
      <c r="BI18">
        <f t="shared" si="35"/>
        <v>6.96E-3</v>
      </c>
      <c r="BJ18">
        <f t="shared" si="36"/>
        <v>8.566904872368851E-2</v>
      </c>
      <c r="BK18" s="472">
        <f t="shared" si="54"/>
        <v>85.669048723688505</v>
      </c>
      <c r="BL18" s="179">
        <f t="shared" si="37"/>
        <v>5.0440000000000006E-2</v>
      </c>
      <c r="BM18" s="179">
        <f t="shared" si="38"/>
        <v>2.5220000000000003E-2</v>
      </c>
      <c r="BN18" s="546"/>
      <c r="BP18" s="472">
        <f t="shared" si="55"/>
        <v>75.660000000000011</v>
      </c>
      <c r="BQ18" s="546">
        <f t="shared" si="39"/>
        <v>1.9489259559273267E-3</v>
      </c>
      <c r="BR18" s="546">
        <f t="shared" si="56"/>
        <v>1.6251933279330822E-2</v>
      </c>
      <c r="BS18" s="546">
        <f t="shared" si="40"/>
        <v>9.5900231777404019E-3</v>
      </c>
      <c r="BT18" s="546">
        <f t="shared" si="41"/>
        <v>1.2019799766348181E-2</v>
      </c>
      <c r="BU18" s="546">
        <f t="shared" si="42"/>
        <v>4.3241726126996997E-2</v>
      </c>
      <c r="BV18" s="655">
        <f t="shared" si="43"/>
        <v>5.7633333333333338E-3</v>
      </c>
      <c r="BW18" s="472">
        <f t="shared" si="57"/>
        <v>49.00505946033033</v>
      </c>
      <c r="BX18" s="179">
        <f t="shared" si="58"/>
        <v>0.21033410818401885</v>
      </c>
      <c r="BY18" s="6">
        <f t="shared" si="59"/>
        <v>0.86450000000000005</v>
      </c>
      <c r="BZ18" s="179">
        <f t="shared" si="60"/>
        <v>0.80431016602237537</v>
      </c>
      <c r="CA18" s="6">
        <f t="shared" si="61"/>
        <v>80.431016602237534</v>
      </c>
      <c r="CB18">
        <f t="shared" si="62"/>
        <v>13</v>
      </c>
      <c r="CD18" s="581">
        <f t="shared" si="44"/>
        <v>-50</v>
      </c>
      <c r="CE18">
        <f t="shared" si="45"/>
        <v>-50</v>
      </c>
    </row>
    <row r="19" spans="5:83" x14ac:dyDescent="0.2">
      <c r="E19" s="176">
        <v>14</v>
      </c>
      <c r="F19" s="223">
        <f t="shared" si="63"/>
        <v>0.14000000000000001</v>
      </c>
      <c r="G19" s="223">
        <f t="shared" si="46"/>
        <v>7.0000000000000007E-2</v>
      </c>
      <c r="H19" s="223">
        <f t="shared" si="0"/>
        <v>0.70000000000000007</v>
      </c>
      <c r="I19" s="223">
        <f t="shared" si="64"/>
        <v>0.23100000000000001</v>
      </c>
      <c r="J19" s="559">
        <f t="shared" si="1"/>
        <v>24</v>
      </c>
      <c r="K19" s="454">
        <f t="shared" si="2"/>
        <v>15.899999999999999</v>
      </c>
      <c r="L19" s="454">
        <f t="shared" si="3"/>
        <v>39.9</v>
      </c>
      <c r="M19" s="454"/>
      <c r="N19" s="223">
        <f t="shared" si="4"/>
        <v>0.39849624060150374</v>
      </c>
      <c r="O19" s="178">
        <f t="shared" si="47"/>
        <v>4.8538639832664359</v>
      </c>
      <c r="P19" s="178">
        <f t="shared" si="5"/>
        <v>2.1303609022556387</v>
      </c>
      <c r="Q19" s="223">
        <f t="shared" si="6"/>
        <v>0.9707727966532872</v>
      </c>
      <c r="R19" s="223">
        <f t="shared" si="7"/>
        <v>1.4708678737171019</v>
      </c>
      <c r="S19" s="454">
        <f t="shared" si="8"/>
        <v>5</v>
      </c>
      <c r="T19" s="223">
        <f t="shared" si="9"/>
        <v>0.21632250174703005</v>
      </c>
      <c r="U19" s="223">
        <f t="shared" si="10"/>
        <v>0.27040312718378756</v>
      </c>
      <c r="V19" s="223">
        <f t="shared" si="11"/>
        <v>0.40815566367364164</v>
      </c>
      <c r="W19" s="203">
        <f t="shared" si="12"/>
        <v>350</v>
      </c>
      <c r="X19" s="454">
        <f t="shared" si="48"/>
        <v>350</v>
      </c>
      <c r="Z19" s="223">
        <f t="shared" si="13"/>
        <v>0.91084854994629427</v>
      </c>
      <c r="AA19" s="179">
        <f t="shared" si="14"/>
        <v>1.7185821697099894</v>
      </c>
      <c r="AB19" s="179">
        <f t="shared" si="15"/>
        <v>0.82181824055304764</v>
      </c>
      <c r="AC19" s="179"/>
      <c r="AD19" s="179">
        <f t="shared" si="16"/>
        <v>0.5660377358490567</v>
      </c>
      <c r="AE19" s="563">
        <f t="shared" si="17"/>
        <v>549.62962962962956</v>
      </c>
      <c r="AF19" s="546">
        <f t="shared" si="18"/>
        <v>8.9150943396226423E-2</v>
      </c>
      <c r="AH19" s="179">
        <f t="shared" si="19"/>
        <v>0.42110964526276684</v>
      </c>
      <c r="AI19" s="179">
        <f t="shared" si="20"/>
        <v>0.42110964526276684</v>
      </c>
      <c r="AJ19" s="179">
        <f t="shared" si="21"/>
        <v>1.2897108483427902</v>
      </c>
      <c r="AL19" s="563">
        <f t="shared" si="22"/>
        <v>140</v>
      </c>
      <c r="AM19" s="472">
        <f t="shared" si="23"/>
        <v>350</v>
      </c>
      <c r="AO19">
        <f t="shared" si="49"/>
        <v>140</v>
      </c>
      <c r="AP19" s="472">
        <f t="shared" si="24"/>
        <v>350</v>
      </c>
      <c r="AQ19" s="472"/>
      <c r="AR19" s="6">
        <f t="shared" si="50"/>
        <v>2.8571428571428572</v>
      </c>
      <c r="AS19" s="6">
        <f t="shared" si="25"/>
        <v>0.52638705657845863</v>
      </c>
      <c r="AT19" s="6">
        <f t="shared" si="51"/>
        <v>2.3307558005643987</v>
      </c>
      <c r="AU19" s="179">
        <f t="shared" si="52"/>
        <v>0.18423546980246053</v>
      </c>
      <c r="AW19" s="6">
        <f t="shared" si="26"/>
        <v>1.4738837584196842</v>
      </c>
      <c r="AX19" s="6">
        <f t="shared" si="27"/>
        <v>1.1165786048633972</v>
      </c>
      <c r="AY19" s="6">
        <f t="shared" si="28"/>
        <v>6.2944793996723716E-2</v>
      </c>
      <c r="AZ19" s="6"/>
      <c r="BA19" s="179">
        <f t="shared" si="53"/>
        <v>0.10435690358620746</v>
      </c>
      <c r="BB19" s="179">
        <f t="shared" si="29"/>
        <v>0.65877669210825229</v>
      </c>
      <c r="BC19" s="179">
        <f t="shared" si="30"/>
        <v>0.32005567624925924</v>
      </c>
      <c r="BD19" s="179"/>
      <c r="BE19" s="546">
        <f t="shared" si="31"/>
        <v>3.8116271641353491E-3</v>
      </c>
      <c r="BF19" s="546">
        <f t="shared" si="32"/>
        <v>4.4105971470709042E-2</v>
      </c>
      <c r="BG19" s="546">
        <f t="shared" si="33"/>
        <v>4.3749999999999995E-3</v>
      </c>
      <c r="BH19" s="546">
        <f t="shared" si="34"/>
        <v>2.7860175000000001E-2</v>
      </c>
      <c r="BI19">
        <f t="shared" si="35"/>
        <v>6.96E-3</v>
      </c>
      <c r="BJ19">
        <f t="shared" si="36"/>
        <v>8.7743228311724555E-2</v>
      </c>
      <c r="BK19" s="472">
        <f t="shared" si="54"/>
        <v>87.74322831172455</v>
      </c>
      <c r="BL19" s="179">
        <f t="shared" si="37"/>
        <v>5.4320000000000007E-2</v>
      </c>
      <c r="BM19" s="179">
        <f t="shared" si="38"/>
        <v>2.7160000000000004E-2</v>
      </c>
      <c r="BN19" s="546"/>
      <c r="BP19" s="472">
        <f t="shared" si="55"/>
        <v>81.48</v>
      </c>
      <c r="BQ19" s="546">
        <f t="shared" si="39"/>
        <v>2.1780726652201998E-3</v>
      </c>
      <c r="BR19" s="546">
        <f t="shared" si="56"/>
        <v>1.7359469202603641E-2</v>
      </c>
      <c r="BS19" s="546">
        <f t="shared" si="40"/>
        <v>1.0243563589937065E-2</v>
      </c>
      <c r="BT19" s="546">
        <f t="shared" si="41"/>
        <v>1.3186455915092953E-2</v>
      </c>
      <c r="BU19" s="546">
        <f t="shared" si="42"/>
        <v>4.6652442933614618E-2</v>
      </c>
      <c r="BV19" s="655">
        <f t="shared" si="43"/>
        <v>6.2066666666666668E-3</v>
      </c>
      <c r="BW19" s="472">
        <f t="shared" si="57"/>
        <v>52.859109600281286</v>
      </c>
      <c r="BX19" s="179">
        <f t="shared" si="58"/>
        <v>0.22208233791200588</v>
      </c>
      <c r="BY19" s="6">
        <f t="shared" si="59"/>
        <v>0.93100000000000005</v>
      </c>
      <c r="BZ19" s="179">
        <f t="shared" si="60"/>
        <v>0.80740114507854566</v>
      </c>
      <c r="CA19" s="6">
        <f t="shared" si="61"/>
        <v>80.740114507854571</v>
      </c>
      <c r="CB19">
        <f t="shared" si="62"/>
        <v>14.000000000000002</v>
      </c>
      <c r="CD19" s="581">
        <f t="shared" si="44"/>
        <v>-50</v>
      </c>
      <c r="CE19">
        <f t="shared" si="45"/>
        <v>-50</v>
      </c>
    </row>
    <row r="20" spans="5:83" x14ac:dyDescent="0.2">
      <c r="E20" s="176">
        <v>15</v>
      </c>
      <c r="F20" s="223">
        <f t="shared" si="63"/>
        <v>0.15</v>
      </c>
      <c r="G20" s="223">
        <f t="shared" si="46"/>
        <v>7.4999999999999997E-2</v>
      </c>
      <c r="H20" s="223">
        <f t="shared" si="0"/>
        <v>0.75</v>
      </c>
      <c r="I20" s="223">
        <f t="shared" si="64"/>
        <v>0.24749999999999997</v>
      </c>
      <c r="J20" s="559">
        <f t="shared" si="1"/>
        <v>24</v>
      </c>
      <c r="K20" s="454">
        <f t="shared" si="2"/>
        <v>15.899999999999999</v>
      </c>
      <c r="L20" s="454">
        <f t="shared" si="3"/>
        <v>39.9</v>
      </c>
      <c r="M20" s="454"/>
      <c r="N20" s="223">
        <f t="shared" si="4"/>
        <v>0.39849624060150374</v>
      </c>
      <c r="O20" s="178">
        <f t="shared" si="47"/>
        <v>4.8538639832664359</v>
      </c>
      <c r="P20" s="178">
        <f t="shared" si="5"/>
        <v>2.1303609022556387</v>
      </c>
      <c r="Q20" s="223">
        <f t="shared" si="6"/>
        <v>0.9707727966532872</v>
      </c>
      <c r="R20" s="223">
        <f t="shared" si="7"/>
        <v>1.4708678737171019</v>
      </c>
      <c r="S20" s="454">
        <f t="shared" si="8"/>
        <v>5</v>
      </c>
      <c r="T20" s="223">
        <f t="shared" si="9"/>
        <v>0.23177410901467502</v>
      </c>
      <c r="U20" s="223">
        <f t="shared" si="10"/>
        <v>0.28971763626834379</v>
      </c>
      <c r="V20" s="223">
        <f t="shared" si="11"/>
        <v>0.43730963965033032</v>
      </c>
      <c r="W20" s="203">
        <f t="shared" si="12"/>
        <v>350</v>
      </c>
      <c r="X20" s="454">
        <f t="shared" si="48"/>
        <v>350</v>
      </c>
      <c r="Z20" s="223">
        <f t="shared" si="13"/>
        <v>0.91084854994629427</v>
      </c>
      <c r="AA20" s="179">
        <f t="shared" si="14"/>
        <v>1.7185821697099894</v>
      </c>
      <c r="AB20" s="179">
        <f t="shared" si="15"/>
        <v>0.82181824055304764</v>
      </c>
      <c r="AC20" s="179"/>
      <c r="AD20" s="179">
        <f t="shared" si="16"/>
        <v>0.5660377358490567</v>
      </c>
      <c r="AE20" s="563">
        <f t="shared" si="17"/>
        <v>588.8888888888888</v>
      </c>
      <c r="AF20" s="546">
        <f t="shared" si="18"/>
        <v>8.9150943396226423E-2</v>
      </c>
      <c r="AH20" s="179">
        <f t="shared" si="19"/>
        <v>0.43588989435406733</v>
      </c>
      <c r="AI20" s="179">
        <f t="shared" si="20"/>
        <v>0.43588989435406733</v>
      </c>
      <c r="AJ20" s="179">
        <f t="shared" si="21"/>
        <v>1.3006591810030128</v>
      </c>
      <c r="AL20" s="563">
        <f t="shared" si="22"/>
        <v>150</v>
      </c>
      <c r="AM20" s="472">
        <f t="shared" si="23"/>
        <v>350</v>
      </c>
      <c r="AO20">
        <f t="shared" si="49"/>
        <v>150</v>
      </c>
      <c r="AP20" s="472">
        <f t="shared" si="24"/>
        <v>350</v>
      </c>
      <c r="AQ20" s="472"/>
      <c r="AR20" s="6">
        <f t="shared" si="50"/>
        <v>2.8571428571428572</v>
      </c>
      <c r="AS20" s="6">
        <f t="shared" si="25"/>
        <v>0.54486236794258414</v>
      </c>
      <c r="AT20" s="6">
        <f t="shared" si="51"/>
        <v>2.3122804892002731</v>
      </c>
      <c r="AU20" s="179">
        <f t="shared" si="52"/>
        <v>0.19070182877990444</v>
      </c>
      <c r="AW20" s="6">
        <f t="shared" si="26"/>
        <v>1.6345871038277524</v>
      </c>
      <c r="AX20" s="6">
        <f t="shared" si="27"/>
        <v>1.2383235635058729</v>
      </c>
      <c r="AY20" s="6">
        <f t="shared" si="28"/>
        <v>6.6906264155100467E-2</v>
      </c>
      <c r="AZ20" s="6"/>
      <c r="BA20" s="179">
        <f t="shared" si="53"/>
        <v>0.10989896491502524</v>
      </c>
      <c r="BB20" s="179">
        <f t="shared" si="29"/>
        <v>0.67919066365451053</v>
      </c>
      <c r="BC20" s="179">
        <f t="shared" si="30"/>
        <v>0.32997346409214962</v>
      </c>
      <c r="BD20" s="179"/>
      <c r="BE20" s="546">
        <f t="shared" si="31"/>
        <v>4.2272238712878817E-3</v>
      </c>
      <c r="BF20" s="546">
        <f t="shared" si="32"/>
        <v>4.5654017809909124E-2</v>
      </c>
      <c r="BG20" s="546">
        <f t="shared" si="33"/>
        <v>4.3749999999999995E-3</v>
      </c>
      <c r="BH20" s="546">
        <f t="shared" si="34"/>
        <v>2.7860175000000001E-2</v>
      </c>
      <c r="BI20">
        <f t="shared" si="35"/>
        <v>6.96E-3</v>
      </c>
      <c r="BJ20">
        <f t="shared" si="36"/>
        <v>8.977859357893983E-2</v>
      </c>
      <c r="BK20" s="472">
        <f t="shared" si="54"/>
        <v>89.778593578939834</v>
      </c>
      <c r="BL20" s="179">
        <f t="shared" si="37"/>
        <v>5.8199999999999995E-2</v>
      </c>
      <c r="BM20" s="179">
        <f t="shared" si="38"/>
        <v>2.9099999999999997E-2</v>
      </c>
      <c r="BN20" s="546"/>
      <c r="BP20" s="472">
        <f t="shared" si="55"/>
        <v>87.299999999999983</v>
      </c>
      <c r="BQ20" s="546">
        <f t="shared" si="39"/>
        <v>2.4155564978787895E-3</v>
      </c>
      <c r="BR20" s="546">
        <f t="shared" si="56"/>
        <v>1.845199830381818E-2</v>
      </c>
      <c r="BS20" s="546">
        <f t="shared" si="40"/>
        <v>1.0888248700497316E-2</v>
      </c>
      <c r="BT20" s="546">
        <f t="shared" si="41"/>
        <v>1.4374148140633333E-2</v>
      </c>
      <c r="BU20" s="546">
        <f t="shared" si="42"/>
        <v>5.0067843631421978E-2</v>
      </c>
      <c r="BV20" s="655">
        <f t="shared" si="43"/>
        <v>6.6499999999999988E-3</v>
      </c>
      <c r="BW20" s="472">
        <f t="shared" si="57"/>
        <v>56.717843631421971</v>
      </c>
      <c r="BX20" s="179">
        <f t="shared" si="58"/>
        <v>0.23379643721036178</v>
      </c>
      <c r="BY20" s="6">
        <f t="shared" si="59"/>
        <v>0.99749999999999994</v>
      </c>
      <c r="BZ20" s="179">
        <f t="shared" si="60"/>
        <v>0.8101217301171979</v>
      </c>
      <c r="CA20" s="6">
        <f t="shared" si="61"/>
        <v>81.012173011719796</v>
      </c>
      <c r="CB20">
        <f t="shared" si="62"/>
        <v>15</v>
      </c>
      <c r="CD20" s="581">
        <f t="shared" si="44"/>
        <v>-50</v>
      </c>
      <c r="CE20">
        <f t="shared" si="45"/>
        <v>-50</v>
      </c>
    </row>
    <row r="21" spans="5:83" s="78" customFormat="1" x14ac:dyDescent="0.2">
      <c r="E21" s="195">
        <v>16</v>
      </c>
      <c r="F21" s="335">
        <f t="shared" si="63"/>
        <v>0.16</v>
      </c>
      <c r="G21" s="223">
        <f t="shared" si="46"/>
        <v>0.08</v>
      </c>
      <c r="H21" s="223">
        <f t="shared" si="0"/>
        <v>0.8</v>
      </c>
      <c r="I21" s="223">
        <f t="shared" si="64"/>
        <v>0.26400000000000001</v>
      </c>
      <c r="J21" s="559">
        <f t="shared" si="1"/>
        <v>24</v>
      </c>
      <c r="K21" s="454">
        <f t="shared" si="2"/>
        <v>15.899999999999999</v>
      </c>
      <c r="L21" s="553">
        <f t="shared" si="3"/>
        <v>39.9</v>
      </c>
      <c r="M21" s="553"/>
      <c r="N21" s="335">
        <f t="shared" si="4"/>
        <v>0.39849624060150374</v>
      </c>
      <c r="O21" s="178">
        <f t="shared" si="47"/>
        <v>4.8538639832664359</v>
      </c>
      <c r="P21" s="178">
        <f t="shared" si="5"/>
        <v>2.1303609022556387</v>
      </c>
      <c r="Q21" s="335">
        <f t="shared" si="6"/>
        <v>0.9707727966532872</v>
      </c>
      <c r="R21" s="223">
        <f t="shared" si="7"/>
        <v>1.4708678737171019</v>
      </c>
      <c r="S21" s="454">
        <f t="shared" si="8"/>
        <v>5</v>
      </c>
      <c r="T21" s="223">
        <f t="shared" si="9"/>
        <v>0.24722571628232007</v>
      </c>
      <c r="U21" s="335">
        <f t="shared" si="10"/>
        <v>0.30903214535290008</v>
      </c>
      <c r="V21" s="223">
        <f t="shared" si="11"/>
        <v>0.46646361562701905</v>
      </c>
      <c r="W21" s="555">
        <f t="shared" si="12"/>
        <v>350</v>
      </c>
      <c r="X21" s="553">
        <f t="shared" si="48"/>
        <v>350</v>
      </c>
      <c r="Z21" s="335">
        <f t="shared" si="13"/>
        <v>0.91084854994629427</v>
      </c>
      <c r="AA21" s="179">
        <f t="shared" si="14"/>
        <v>1.7185821697099894</v>
      </c>
      <c r="AB21" s="179">
        <f t="shared" si="15"/>
        <v>0.82181824055304764</v>
      </c>
      <c r="AC21" s="556"/>
      <c r="AD21" s="179">
        <f t="shared" si="16"/>
        <v>0.5660377358490567</v>
      </c>
      <c r="AE21" s="563">
        <f t="shared" si="17"/>
        <v>628.14814814814804</v>
      </c>
      <c r="AF21" s="546">
        <f t="shared" si="18"/>
        <v>8.9150943396226423E-2</v>
      </c>
      <c r="AG21"/>
      <c r="AH21" s="179">
        <f t="shared" si="19"/>
        <v>0.45018514709691021</v>
      </c>
      <c r="AI21" s="179">
        <f t="shared" si="20"/>
        <v>0.45018514709691021</v>
      </c>
      <c r="AJ21" s="179">
        <f t="shared" si="21"/>
        <v>1.3112482571088224</v>
      </c>
      <c r="AL21" s="563">
        <f t="shared" si="22"/>
        <v>160</v>
      </c>
      <c r="AM21" s="472">
        <f t="shared" si="23"/>
        <v>350</v>
      </c>
      <c r="AO21">
        <f t="shared" si="49"/>
        <v>160</v>
      </c>
      <c r="AP21" s="472">
        <f t="shared" si="24"/>
        <v>350</v>
      </c>
      <c r="AQ21" s="472"/>
      <c r="AR21" s="6">
        <f t="shared" si="50"/>
        <v>2.8571428571428572</v>
      </c>
      <c r="AS21" s="6">
        <f t="shared" si="25"/>
        <v>0.56273143387113778</v>
      </c>
      <c r="AT21" s="6">
        <f t="shared" si="51"/>
        <v>2.2944114232717192</v>
      </c>
      <c r="AU21" s="179">
        <f t="shared" si="52"/>
        <v>0.19695600185489823</v>
      </c>
      <c r="AW21" s="6">
        <f t="shared" si="26"/>
        <v>1.8007405883876411</v>
      </c>
      <c r="AX21" s="6">
        <f t="shared" si="27"/>
        <v>1.3641974154451826</v>
      </c>
      <c r="AY21" s="6">
        <f t="shared" si="28"/>
        <v>7.0815167384929614E-2</v>
      </c>
      <c r="AZ21" s="6"/>
      <c r="BA21" s="179">
        <f t="shared" si="53"/>
        <v>0.11534934817895019</v>
      </c>
      <c r="BB21" s="179">
        <f t="shared" si="29"/>
        <v>0.69874941922853995</v>
      </c>
      <c r="BC21" s="179">
        <f t="shared" si="30"/>
        <v>0.33947575950853232</v>
      </c>
      <c r="BD21" s="179"/>
      <c r="BE21" s="546">
        <f t="shared" si="31"/>
        <v>4.6569152438580381E-3</v>
      </c>
      <c r="BF21" s="546">
        <f t="shared" si="32"/>
        <v>4.715126684406263E-2</v>
      </c>
      <c r="BG21" s="546">
        <f t="shared" si="33"/>
        <v>4.3749999999999995E-3</v>
      </c>
      <c r="BH21" s="546">
        <f t="shared" si="34"/>
        <v>2.7860175000000001E-2</v>
      </c>
      <c r="BI21">
        <f t="shared" si="35"/>
        <v>6.96E-3</v>
      </c>
      <c r="BJ21">
        <f t="shared" si="36"/>
        <v>9.1780139017657983E-2</v>
      </c>
      <c r="BK21" s="472">
        <f t="shared" si="54"/>
        <v>91.780139017657987</v>
      </c>
      <c r="BL21" s="179">
        <f t="shared" si="37"/>
        <v>6.2079999999999996E-2</v>
      </c>
      <c r="BM21" s="179">
        <f t="shared" si="38"/>
        <v>3.1039999999999998E-2</v>
      </c>
      <c r="BN21" s="546"/>
      <c r="BP21" s="472">
        <f t="shared" si="55"/>
        <v>93.11999999999999</v>
      </c>
      <c r="BQ21" s="546">
        <f t="shared" si="39"/>
        <v>2.6610944250617364E-3</v>
      </c>
      <c r="BR21" s="546">
        <f t="shared" si="56"/>
        <v>1.9530030034888873E-2</v>
      </c>
      <c r="BS21" s="546">
        <f t="shared" si="40"/>
        <v>1.1524379129389486E-2</v>
      </c>
      <c r="BT21" s="546">
        <f t="shared" si="41"/>
        <v>1.5581814180440674E-2</v>
      </c>
      <c r="BU21" s="546">
        <f t="shared" si="42"/>
        <v>5.3487446696588274E-2</v>
      </c>
      <c r="BV21" s="655">
        <f t="shared" si="43"/>
        <v>7.0933333333333343E-3</v>
      </c>
      <c r="BW21" s="472">
        <f t="shared" si="57"/>
        <v>60.580780029921605</v>
      </c>
      <c r="BX21" s="179">
        <f t="shared" si="58"/>
        <v>0.24548091904757963</v>
      </c>
      <c r="BY21" s="6">
        <f t="shared" si="59"/>
        <v>1.0640000000000001</v>
      </c>
      <c r="BZ21" s="179">
        <f t="shared" si="60"/>
        <v>0.81253570366941708</v>
      </c>
      <c r="CA21" s="6">
        <f t="shared" si="61"/>
        <v>81.253570366941702</v>
      </c>
      <c r="CB21">
        <f t="shared" si="62"/>
        <v>16</v>
      </c>
      <c r="CD21" s="581">
        <f t="shared" si="44"/>
        <v>-50</v>
      </c>
      <c r="CE21">
        <f t="shared" si="45"/>
        <v>-50</v>
      </c>
    </row>
    <row r="22" spans="5:83" x14ac:dyDescent="0.2">
      <c r="E22" s="176">
        <v>17</v>
      </c>
      <c r="F22" s="223">
        <f t="shared" si="63"/>
        <v>0.17</v>
      </c>
      <c r="G22" s="223">
        <f t="shared" si="46"/>
        <v>8.5000000000000006E-2</v>
      </c>
      <c r="H22" s="223">
        <f t="shared" si="0"/>
        <v>0.85000000000000009</v>
      </c>
      <c r="I22" s="223">
        <f t="shared" si="64"/>
        <v>0.28050000000000003</v>
      </c>
      <c r="J22" s="559">
        <f t="shared" si="1"/>
        <v>24</v>
      </c>
      <c r="K22" s="454">
        <f t="shared" si="2"/>
        <v>15.899999999999999</v>
      </c>
      <c r="L22" s="454">
        <f t="shared" si="3"/>
        <v>39.9</v>
      </c>
      <c r="M22" s="454"/>
      <c r="N22" s="223">
        <f t="shared" si="4"/>
        <v>0.39849624060150374</v>
      </c>
      <c r="O22" s="178">
        <f t="shared" si="47"/>
        <v>4.8538639832664359</v>
      </c>
      <c r="P22" s="178">
        <f t="shared" si="5"/>
        <v>2.1303609022556387</v>
      </c>
      <c r="Q22" s="223">
        <f t="shared" si="6"/>
        <v>0.9707727966532872</v>
      </c>
      <c r="R22" s="223">
        <f t="shared" si="7"/>
        <v>1.4708678737171019</v>
      </c>
      <c r="S22" s="454">
        <f t="shared" si="8"/>
        <v>5</v>
      </c>
      <c r="T22" s="223">
        <f t="shared" si="9"/>
        <v>0.26267732354996504</v>
      </c>
      <c r="U22" s="223">
        <f t="shared" si="10"/>
        <v>0.32834665443745631</v>
      </c>
      <c r="V22" s="223">
        <f t="shared" si="11"/>
        <v>0.49561759160370761</v>
      </c>
      <c r="W22" s="203">
        <f t="shared" si="12"/>
        <v>350</v>
      </c>
      <c r="X22" s="454">
        <f t="shared" si="48"/>
        <v>350</v>
      </c>
      <c r="Z22" s="223">
        <f t="shared" si="13"/>
        <v>0.91084854994629427</v>
      </c>
      <c r="AA22" s="179">
        <f t="shared" si="14"/>
        <v>1.7185821697099894</v>
      </c>
      <c r="AB22" s="179">
        <f t="shared" si="15"/>
        <v>0.82181824055304764</v>
      </c>
      <c r="AC22" s="179"/>
      <c r="AD22" s="179">
        <f t="shared" si="16"/>
        <v>0.5660377358490567</v>
      </c>
      <c r="AE22" s="563">
        <f t="shared" si="17"/>
        <v>667.40740740740728</v>
      </c>
      <c r="AF22" s="546">
        <f t="shared" si="18"/>
        <v>8.9150943396226423E-2</v>
      </c>
      <c r="AH22" s="179">
        <f t="shared" si="19"/>
        <v>0.46404022814119611</v>
      </c>
      <c r="AI22" s="179">
        <f t="shared" si="20"/>
        <v>0.46404022814119611</v>
      </c>
      <c r="AJ22" s="179">
        <f t="shared" si="21"/>
        <v>1.3215112801045896</v>
      </c>
      <c r="AL22" s="563">
        <f t="shared" si="22"/>
        <v>170</v>
      </c>
      <c r="AM22" s="472">
        <f t="shared" si="23"/>
        <v>350</v>
      </c>
      <c r="AO22">
        <f t="shared" si="49"/>
        <v>170</v>
      </c>
      <c r="AP22" s="472">
        <f t="shared" si="24"/>
        <v>350</v>
      </c>
      <c r="AQ22" s="472"/>
      <c r="AR22" s="6">
        <f t="shared" si="50"/>
        <v>2.8571428571428572</v>
      </c>
      <c r="AS22" s="6">
        <f t="shared" si="25"/>
        <v>0.58005028517649515</v>
      </c>
      <c r="AT22" s="6">
        <f t="shared" si="51"/>
        <v>2.2770925719663619</v>
      </c>
      <c r="AU22" s="179">
        <f t="shared" si="52"/>
        <v>0.20301759981177331</v>
      </c>
      <c r="AW22" s="6">
        <f t="shared" si="26"/>
        <v>1.9721709696000835</v>
      </c>
      <c r="AX22" s="6">
        <f t="shared" si="27"/>
        <v>1.4940689163636995</v>
      </c>
      <c r="AY22" s="6">
        <f t="shared" si="28"/>
        <v>7.4673174620810467E-2</v>
      </c>
      <c r="AZ22" s="6"/>
      <c r="BA22" s="179">
        <f t="shared" si="53"/>
        <v>0.1207151695698071</v>
      </c>
      <c r="BB22" s="179">
        <f t="shared" si="29"/>
        <v>0.71753092652623296</v>
      </c>
      <c r="BC22" s="179">
        <f t="shared" si="30"/>
        <v>0.34860044180399485</v>
      </c>
      <c r="BD22" s="179"/>
      <c r="BE22" s="546">
        <f t="shared" si="31"/>
        <v>5.1002532574935481E-3</v>
      </c>
      <c r="BF22" s="546">
        <f t="shared" si="32"/>
        <v>4.8602413394938523E-2</v>
      </c>
      <c r="BG22" s="546">
        <f t="shared" si="33"/>
        <v>4.3749999999999995E-3</v>
      </c>
      <c r="BH22" s="546">
        <f t="shared" si="34"/>
        <v>2.7860175000000001E-2</v>
      </c>
      <c r="BI22">
        <f t="shared" si="35"/>
        <v>6.96E-3</v>
      </c>
      <c r="BJ22">
        <f t="shared" si="36"/>
        <v>9.3752058018613277E-2</v>
      </c>
      <c r="BK22" s="472">
        <f t="shared" si="54"/>
        <v>93.752058018613283</v>
      </c>
      <c r="BL22" s="179">
        <f t="shared" si="37"/>
        <v>6.5960000000000005E-2</v>
      </c>
      <c r="BM22" s="179">
        <f t="shared" si="38"/>
        <v>3.2980000000000002E-2</v>
      </c>
      <c r="BN22" s="546"/>
      <c r="BP22" s="472">
        <f t="shared" si="55"/>
        <v>98.94</v>
      </c>
      <c r="BQ22" s="546">
        <f t="shared" si="39"/>
        <v>2.9144304328534566E-3</v>
      </c>
      <c r="BR22" s="546">
        <f t="shared" si="56"/>
        <v>2.0594025220863774E-2</v>
      </c>
      <c r="BS22" s="546">
        <f t="shared" si="40"/>
        <v>1.2152226802594042E-2</v>
      </c>
      <c r="BT22" s="546">
        <f t="shared" si="41"/>
        <v>1.680850912699355E-2</v>
      </c>
      <c r="BU22" s="546">
        <f t="shared" si="42"/>
        <v>5.6910831806171333E-2</v>
      </c>
      <c r="BV22" s="655">
        <f t="shared" si="43"/>
        <v>7.5366666666666672E-3</v>
      </c>
      <c r="BW22" s="472">
        <f t="shared" si="57"/>
        <v>64.447498472837992</v>
      </c>
      <c r="BX22" s="179">
        <f t="shared" si="58"/>
        <v>0.25713955649145132</v>
      </c>
      <c r="BY22" s="6">
        <f t="shared" si="59"/>
        <v>1.1305000000000001</v>
      </c>
      <c r="BZ22" s="179">
        <f t="shared" si="60"/>
        <v>0.81469283194721653</v>
      </c>
      <c r="CA22" s="6">
        <f t="shared" si="61"/>
        <v>81.469283194721655</v>
      </c>
      <c r="CB22">
        <f t="shared" si="62"/>
        <v>17</v>
      </c>
      <c r="CD22" s="581">
        <f t="shared" si="44"/>
        <v>-50</v>
      </c>
      <c r="CE22">
        <f t="shared" si="45"/>
        <v>-50</v>
      </c>
    </row>
    <row r="23" spans="5:83" x14ac:dyDescent="0.2">
      <c r="E23" s="176">
        <v>18</v>
      </c>
      <c r="F23" s="223">
        <f t="shared" si="63"/>
        <v>0.18</v>
      </c>
      <c r="G23" s="223">
        <f t="shared" si="46"/>
        <v>0.09</v>
      </c>
      <c r="H23" s="223">
        <f t="shared" si="0"/>
        <v>0.89999999999999991</v>
      </c>
      <c r="I23" s="223">
        <f t="shared" si="64"/>
        <v>0.29699999999999999</v>
      </c>
      <c r="J23" s="559">
        <f t="shared" si="1"/>
        <v>24</v>
      </c>
      <c r="K23" s="454">
        <f t="shared" si="2"/>
        <v>15.899999999999999</v>
      </c>
      <c r="L23" s="454">
        <f t="shared" si="3"/>
        <v>39.9</v>
      </c>
      <c r="M23" s="454"/>
      <c r="N23" s="223">
        <f t="shared" si="4"/>
        <v>0.39849624060150374</v>
      </c>
      <c r="O23" s="178">
        <f t="shared" si="47"/>
        <v>4.8538639832664359</v>
      </c>
      <c r="P23" s="178">
        <f t="shared" si="5"/>
        <v>2.1303609022556387</v>
      </c>
      <c r="Q23" s="223">
        <f t="shared" si="6"/>
        <v>0.9707727966532872</v>
      </c>
      <c r="R23" s="223">
        <f t="shared" si="7"/>
        <v>1.4708678737171019</v>
      </c>
      <c r="S23" s="454">
        <f t="shared" si="8"/>
        <v>5</v>
      </c>
      <c r="T23" s="223">
        <f t="shared" si="9"/>
        <v>0.27812893081761003</v>
      </c>
      <c r="U23" s="223">
        <f t="shared" si="10"/>
        <v>0.34766116352201254</v>
      </c>
      <c r="V23" s="223">
        <f t="shared" si="11"/>
        <v>0.52477156758039634</v>
      </c>
      <c r="W23" s="203">
        <f t="shared" si="12"/>
        <v>350</v>
      </c>
      <c r="X23" s="454">
        <f t="shared" si="48"/>
        <v>350</v>
      </c>
      <c r="Z23" s="223">
        <f t="shared" si="13"/>
        <v>0.91084854994629427</v>
      </c>
      <c r="AA23" s="179">
        <f t="shared" si="14"/>
        <v>1.7185821697099894</v>
      </c>
      <c r="AB23" s="179">
        <f t="shared" si="15"/>
        <v>0.82181824055304764</v>
      </c>
      <c r="AC23" s="179"/>
      <c r="AD23" s="179">
        <f t="shared" si="16"/>
        <v>0.5660377358490567</v>
      </c>
      <c r="AE23" s="563">
        <f t="shared" si="17"/>
        <v>706.66666666666652</v>
      </c>
      <c r="AF23" s="546">
        <f t="shared" si="18"/>
        <v>8.9150943396226423E-2</v>
      </c>
      <c r="AH23" s="179">
        <f t="shared" si="19"/>
        <v>0.47749345545253286</v>
      </c>
      <c r="AI23" s="179">
        <f t="shared" si="20"/>
        <v>0.47749345545253286</v>
      </c>
      <c r="AJ23" s="179">
        <f t="shared" si="21"/>
        <v>1.3314766336685429</v>
      </c>
      <c r="AL23" s="563">
        <f t="shared" si="22"/>
        <v>180</v>
      </c>
      <c r="AM23" s="472">
        <f t="shared" si="23"/>
        <v>350</v>
      </c>
      <c r="AO23">
        <f t="shared" si="49"/>
        <v>180</v>
      </c>
      <c r="AP23" s="472">
        <f t="shared" si="24"/>
        <v>350</v>
      </c>
      <c r="AQ23" s="472"/>
      <c r="AR23" s="6">
        <f t="shared" si="50"/>
        <v>2.8571428571428572</v>
      </c>
      <c r="AS23" s="6">
        <f t="shared" si="25"/>
        <v>0.5968668193156661</v>
      </c>
      <c r="AT23" s="6">
        <f t="shared" si="51"/>
        <v>2.2602760378271913</v>
      </c>
      <c r="AU23" s="179">
        <f t="shared" si="52"/>
        <v>0.20890338676048312</v>
      </c>
      <c r="AW23" s="6">
        <f t="shared" si="26"/>
        <v>2.1487205495363981</v>
      </c>
      <c r="AX23" s="6">
        <f t="shared" si="27"/>
        <v>1.6278185981336346</v>
      </c>
      <c r="AY23" s="6">
        <f t="shared" si="28"/>
        <v>7.8481806868999679E-2</v>
      </c>
      <c r="AZ23" s="6"/>
      <c r="BA23" s="179">
        <f t="shared" si="53"/>
        <v>0.12600260867853774</v>
      </c>
      <c r="BB23" s="179">
        <f t="shared" si="29"/>
        <v>0.73560185117754395</v>
      </c>
      <c r="BC23" s="179">
        <f t="shared" si="30"/>
        <v>0.3573798993637568</v>
      </c>
      <c r="BD23" s="179"/>
      <c r="BE23" s="546">
        <f t="shared" si="31"/>
        <v>5.5568300878288505E-3</v>
      </c>
      <c r="BF23" s="546">
        <f t="shared" si="32"/>
        <v>5.0011470790459651E-2</v>
      </c>
      <c r="BG23" s="546">
        <f t="shared" si="33"/>
        <v>4.3749999999999995E-3</v>
      </c>
      <c r="BH23" s="546">
        <f t="shared" si="34"/>
        <v>2.7860175000000001E-2</v>
      </c>
      <c r="BI23">
        <f t="shared" si="35"/>
        <v>6.96E-3</v>
      </c>
      <c r="BJ23">
        <f t="shared" si="36"/>
        <v>9.5697908676978902E-2</v>
      </c>
      <c r="BK23" s="472">
        <f t="shared" si="54"/>
        <v>95.697908676978898</v>
      </c>
      <c r="BL23" s="179">
        <f t="shared" si="37"/>
        <v>6.9839999999999999E-2</v>
      </c>
      <c r="BM23" s="179">
        <f t="shared" si="38"/>
        <v>3.492E-2</v>
      </c>
      <c r="BN23" s="546"/>
      <c r="BP23" s="472">
        <f t="shared" si="55"/>
        <v>104.75999999999999</v>
      </c>
      <c r="BQ23" s="546">
        <f t="shared" si="39"/>
        <v>3.1753314787593434E-3</v>
      </c>
      <c r="BR23" s="546">
        <f t="shared" si="56"/>
        <v>2.1644403338233184E-2</v>
      </c>
      <c r="BS23" s="546">
        <f t="shared" si="40"/>
        <v>1.2772039246924894E-2</v>
      </c>
      <c r="BT23" s="546">
        <f t="shared" si="41"/>
        <v>1.8053386251377455E-2</v>
      </c>
      <c r="BU23" s="546">
        <f t="shared" si="42"/>
        <v>6.033762908457295E-2</v>
      </c>
      <c r="BV23" s="655">
        <f t="shared" si="43"/>
        <v>7.9799999999999992E-3</v>
      </c>
      <c r="BW23" s="472">
        <f t="shared" si="57"/>
        <v>68.317629084572957</v>
      </c>
      <c r="BX23" s="179">
        <f t="shared" si="58"/>
        <v>0.26877553776155183</v>
      </c>
      <c r="BY23" s="6">
        <f t="shared" si="59"/>
        <v>1.1969999999999998</v>
      </c>
      <c r="BZ23" s="179">
        <f t="shared" si="60"/>
        <v>0.81663253967793026</v>
      </c>
      <c r="CA23" s="6">
        <f t="shared" si="61"/>
        <v>81.663253967793025</v>
      </c>
      <c r="CB23">
        <f t="shared" si="62"/>
        <v>18</v>
      </c>
      <c r="CD23" s="581">
        <f t="shared" si="44"/>
        <v>-50</v>
      </c>
      <c r="CE23">
        <f t="shared" si="45"/>
        <v>-50</v>
      </c>
    </row>
    <row r="24" spans="5:83" x14ac:dyDescent="0.2">
      <c r="E24" s="176">
        <v>19</v>
      </c>
      <c r="F24" s="223">
        <f t="shared" si="63"/>
        <v>0.19</v>
      </c>
      <c r="G24" s="223">
        <f t="shared" si="46"/>
        <v>9.5000000000000001E-2</v>
      </c>
      <c r="H24" s="223">
        <f t="shared" si="0"/>
        <v>0.95</v>
      </c>
      <c r="I24" s="223">
        <f t="shared" si="64"/>
        <v>0.3135</v>
      </c>
      <c r="J24" s="559">
        <f t="shared" si="1"/>
        <v>24</v>
      </c>
      <c r="K24" s="454">
        <f t="shared" si="2"/>
        <v>15.899999999999999</v>
      </c>
      <c r="L24" s="454">
        <f t="shared" si="3"/>
        <v>39.9</v>
      </c>
      <c r="M24" s="454"/>
      <c r="N24" s="223">
        <f t="shared" si="4"/>
        <v>0.39849624060150374</v>
      </c>
      <c r="O24" s="178">
        <f t="shared" si="47"/>
        <v>4.8538639832664359</v>
      </c>
      <c r="P24" s="178">
        <f t="shared" si="5"/>
        <v>2.1303609022556387</v>
      </c>
      <c r="Q24" s="223">
        <f t="shared" si="6"/>
        <v>0.9707727966532872</v>
      </c>
      <c r="R24" s="223">
        <f t="shared" si="7"/>
        <v>1.4708678737171019</v>
      </c>
      <c r="S24" s="454">
        <f t="shared" si="8"/>
        <v>5</v>
      </c>
      <c r="T24" s="223">
        <f t="shared" si="9"/>
        <v>0.29358053808525508</v>
      </c>
      <c r="U24" s="223">
        <f t="shared" si="10"/>
        <v>0.36697567260656888</v>
      </c>
      <c r="V24" s="223">
        <f t="shared" si="11"/>
        <v>0.55392554355708512</v>
      </c>
      <c r="W24" s="203">
        <f t="shared" si="12"/>
        <v>350</v>
      </c>
      <c r="X24" s="454">
        <f t="shared" si="48"/>
        <v>350</v>
      </c>
      <c r="Z24" s="223">
        <f t="shared" si="13"/>
        <v>0.91084854994629427</v>
      </c>
      <c r="AA24" s="179">
        <f t="shared" si="14"/>
        <v>1.7185821697099894</v>
      </c>
      <c r="AB24" s="179">
        <f t="shared" si="15"/>
        <v>0.82181824055304764</v>
      </c>
      <c r="AC24" s="179"/>
      <c r="AD24" s="179">
        <f t="shared" si="16"/>
        <v>0.5660377358490567</v>
      </c>
      <c r="AE24" s="563">
        <f t="shared" si="17"/>
        <v>745.92592592592587</v>
      </c>
      <c r="AF24" s="546">
        <f t="shared" si="18"/>
        <v>8.9150943396226423E-2</v>
      </c>
      <c r="AH24" s="179">
        <f t="shared" si="19"/>
        <v>0.49057789051960615</v>
      </c>
      <c r="AI24" s="179">
        <f t="shared" si="20"/>
        <v>0.49057789051960615</v>
      </c>
      <c r="AJ24" s="179">
        <f t="shared" si="21"/>
        <v>1.3411688077923007</v>
      </c>
      <c r="AL24" s="563">
        <f t="shared" si="22"/>
        <v>190</v>
      </c>
      <c r="AM24" s="472">
        <f t="shared" si="23"/>
        <v>350</v>
      </c>
      <c r="AO24">
        <f t="shared" si="49"/>
        <v>190</v>
      </c>
      <c r="AP24" s="472">
        <f t="shared" si="24"/>
        <v>350</v>
      </c>
      <c r="AQ24" s="472"/>
      <c r="AR24" s="6">
        <f t="shared" si="50"/>
        <v>2.8571428571428572</v>
      </c>
      <c r="AS24" s="6">
        <f t="shared" si="25"/>
        <v>0.61322236314950773</v>
      </c>
      <c r="AT24" s="6">
        <f t="shared" si="51"/>
        <v>2.2439204939933495</v>
      </c>
      <c r="AU24" s="179">
        <f t="shared" si="52"/>
        <v>0.2146278271023277</v>
      </c>
      <c r="AW24" s="6">
        <f t="shared" si="26"/>
        <v>2.3302449799681293</v>
      </c>
      <c r="AX24" s="6">
        <f t="shared" si="27"/>
        <v>1.7653371060364615</v>
      </c>
      <c r="AY24" s="6">
        <f t="shared" si="28"/>
        <v>8.2242456377071047E-2</v>
      </c>
      <c r="AZ24" s="6"/>
      <c r="BA24" s="179">
        <f t="shared" si="53"/>
        <v>0.13121707678833433</v>
      </c>
      <c r="BB24" s="179">
        <f t="shared" si="29"/>
        <v>0.75301972672176354</v>
      </c>
      <c r="BC24" s="179">
        <f t="shared" si="30"/>
        <v>0.36584208389899003</v>
      </c>
      <c r="BD24" s="179"/>
      <c r="BE24" s="546">
        <f t="shared" si="31"/>
        <v>6.0262724343064702E-3</v>
      </c>
      <c r="BF24" s="546">
        <f t="shared" si="32"/>
        <v>5.1381901808297249E-2</v>
      </c>
      <c r="BG24" s="546">
        <f t="shared" si="33"/>
        <v>4.3749999999999995E-3</v>
      </c>
      <c r="BH24" s="546">
        <f t="shared" si="34"/>
        <v>2.7860175000000001E-2</v>
      </c>
      <c r="BI24">
        <f t="shared" si="35"/>
        <v>6.96E-3</v>
      </c>
      <c r="BJ24">
        <f t="shared" si="36"/>
        <v>9.7620738216467717E-2</v>
      </c>
      <c r="BK24" s="472">
        <f t="shared" si="54"/>
        <v>97.620738216467714</v>
      </c>
      <c r="BL24" s="179">
        <f t="shared" si="37"/>
        <v>7.3720000000000008E-2</v>
      </c>
      <c r="BM24" s="179">
        <f t="shared" si="38"/>
        <v>3.6860000000000004E-2</v>
      </c>
      <c r="BN24" s="546"/>
      <c r="BP24" s="472">
        <f t="shared" si="55"/>
        <v>110.58000000000001</v>
      </c>
      <c r="BQ24" s="546">
        <f t="shared" si="39"/>
        <v>3.4435842481751258E-3</v>
      </c>
      <c r="BR24" s="546">
        <f t="shared" si="56"/>
        <v>2.2681548353284779E-2</v>
      </c>
      <c r="BS24" s="546">
        <f t="shared" si="40"/>
        <v>1.3384043035155566E-2</v>
      </c>
      <c r="BT24" s="546">
        <f t="shared" si="41"/>
        <v>1.9315681862584189E-2</v>
      </c>
      <c r="BU24" s="546">
        <f t="shared" si="42"/>
        <v>6.3767510718063095E-2</v>
      </c>
      <c r="BV24" s="655">
        <f t="shared" si="43"/>
        <v>8.4233333333333348E-3</v>
      </c>
      <c r="BW24" s="472">
        <f t="shared" si="57"/>
        <v>72.190844051396439</v>
      </c>
      <c r="BX24" s="179">
        <f t="shared" si="58"/>
        <v>0.28039158226786415</v>
      </c>
      <c r="BY24" s="6">
        <f t="shared" si="59"/>
        <v>1.2635000000000001</v>
      </c>
      <c r="BZ24" s="179">
        <f t="shared" si="60"/>
        <v>0.81838648161032823</v>
      </c>
      <c r="CA24" s="6">
        <f t="shared" si="61"/>
        <v>81.838648161032822</v>
      </c>
      <c r="CB24">
        <f t="shared" si="62"/>
        <v>19</v>
      </c>
      <c r="CD24" s="581">
        <f t="shared" si="44"/>
        <v>-50</v>
      </c>
      <c r="CE24">
        <f t="shared" si="45"/>
        <v>-50</v>
      </c>
    </row>
    <row r="25" spans="5:83" x14ac:dyDescent="0.2">
      <c r="E25" s="176">
        <v>20</v>
      </c>
      <c r="F25" s="223">
        <f t="shared" si="63"/>
        <v>0.2</v>
      </c>
      <c r="G25" s="223">
        <f t="shared" si="46"/>
        <v>0.1</v>
      </c>
      <c r="H25" s="223">
        <f t="shared" si="0"/>
        <v>1</v>
      </c>
      <c r="I25" s="223">
        <f t="shared" si="64"/>
        <v>0.33</v>
      </c>
      <c r="J25" s="559">
        <f t="shared" si="1"/>
        <v>24</v>
      </c>
      <c r="K25" s="454">
        <f t="shared" si="2"/>
        <v>15.899999999999999</v>
      </c>
      <c r="L25" s="454">
        <f t="shared" si="3"/>
        <v>39.9</v>
      </c>
      <c r="M25" s="454"/>
      <c r="N25" s="223">
        <f t="shared" si="4"/>
        <v>0.39849624060150374</v>
      </c>
      <c r="O25" s="178">
        <f t="shared" si="47"/>
        <v>4.8538639832664359</v>
      </c>
      <c r="P25" s="178">
        <f t="shared" si="5"/>
        <v>2.1303609022556387</v>
      </c>
      <c r="Q25" s="223">
        <f t="shared" si="6"/>
        <v>0.9707727966532872</v>
      </c>
      <c r="R25" s="223">
        <f t="shared" si="7"/>
        <v>1.4708678737171019</v>
      </c>
      <c r="S25" s="454">
        <f t="shared" si="8"/>
        <v>5</v>
      </c>
      <c r="T25" s="223">
        <f t="shared" si="9"/>
        <v>0.30903214535290008</v>
      </c>
      <c r="U25" s="223">
        <f t="shared" si="10"/>
        <v>0.38629018169112511</v>
      </c>
      <c r="V25" s="223">
        <f t="shared" si="11"/>
        <v>0.58307951953377379</v>
      </c>
      <c r="W25" s="203">
        <f t="shared" si="12"/>
        <v>350</v>
      </c>
      <c r="X25" s="454">
        <f t="shared" si="48"/>
        <v>350</v>
      </c>
      <c r="Z25" s="223">
        <f t="shared" si="13"/>
        <v>0.91084854994629427</v>
      </c>
      <c r="AA25" s="179">
        <f t="shared" si="14"/>
        <v>1.7185821697099894</v>
      </c>
      <c r="AB25" s="179">
        <f t="shared" si="15"/>
        <v>0.82181824055304764</v>
      </c>
      <c r="AC25" s="179"/>
      <c r="AD25" s="179">
        <f t="shared" si="16"/>
        <v>0.5660377358490567</v>
      </c>
      <c r="AE25" s="563">
        <f t="shared" si="17"/>
        <v>785.18518518518511</v>
      </c>
      <c r="AF25" s="546">
        <f t="shared" si="18"/>
        <v>8.9150943396226423E-2</v>
      </c>
      <c r="AH25" s="179">
        <f t="shared" si="19"/>
        <v>0.50332229568471665</v>
      </c>
      <c r="AI25" s="179">
        <f t="shared" si="20"/>
        <v>0.50332229568471665</v>
      </c>
      <c r="AJ25" s="179">
        <f t="shared" si="21"/>
        <v>1.3506091079146048</v>
      </c>
      <c r="AL25" s="563">
        <f t="shared" si="22"/>
        <v>200</v>
      </c>
      <c r="AM25" s="472">
        <f t="shared" si="23"/>
        <v>350</v>
      </c>
      <c r="AO25">
        <f t="shared" si="49"/>
        <v>200</v>
      </c>
      <c r="AP25" s="472">
        <f t="shared" si="24"/>
        <v>350</v>
      </c>
      <c r="AQ25" s="472"/>
      <c r="AR25" s="6">
        <f t="shared" si="50"/>
        <v>2.8571428571428572</v>
      </c>
      <c r="AS25" s="6">
        <f t="shared" si="25"/>
        <v>0.62915286960589578</v>
      </c>
      <c r="AT25" s="6">
        <f t="shared" si="51"/>
        <v>2.2279899875369615</v>
      </c>
      <c r="AU25" s="179">
        <f t="shared" si="52"/>
        <v>0.22020350436206351</v>
      </c>
      <c r="AW25" s="6">
        <f t="shared" si="26"/>
        <v>2.5166114784235831</v>
      </c>
      <c r="AX25" s="6">
        <f t="shared" si="27"/>
        <v>1.9065238472905934</v>
      </c>
      <c r="AY25" s="6">
        <f t="shared" si="28"/>
        <v>8.5956403840160553E-2</v>
      </c>
      <c r="AZ25" s="6"/>
      <c r="BA25" s="179">
        <f t="shared" si="53"/>
        <v>0.13636334768028485</v>
      </c>
      <c r="BB25" s="179">
        <f t="shared" si="29"/>
        <v>0.76983461645007345</v>
      </c>
      <c r="BC25" s="179">
        <f t="shared" si="30"/>
        <v>0.37401131782532737</v>
      </c>
      <c r="BD25" s="179"/>
      <c r="BE25" s="546">
        <f t="shared" si="31"/>
        <v>6.5082369067009866E-3</v>
      </c>
      <c r="BF25" s="546">
        <f t="shared" si="32"/>
        <v>5.2716718944277999E-2</v>
      </c>
      <c r="BG25" s="546">
        <f t="shared" si="33"/>
        <v>4.3749999999999995E-3</v>
      </c>
      <c r="BH25" s="546">
        <f t="shared" si="34"/>
        <v>2.7860175000000001E-2</v>
      </c>
      <c r="BI25">
        <f t="shared" si="35"/>
        <v>6.96E-3</v>
      </c>
      <c r="BJ25">
        <f t="shared" si="36"/>
        <v>9.9523177958866504E-2</v>
      </c>
      <c r="BK25" s="472">
        <f t="shared" si="54"/>
        <v>99.523177958866498</v>
      </c>
      <c r="BL25" s="179">
        <f t="shared" si="37"/>
        <v>7.7600000000000016E-2</v>
      </c>
      <c r="BM25" s="179">
        <f t="shared" si="38"/>
        <v>3.8800000000000008E-2</v>
      </c>
      <c r="BN25" s="546"/>
      <c r="BP25" s="472">
        <f t="shared" si="55"/>
        <v>116.40000000000003</v>
      </c>
      <c r="BQ25" s="546">
        <f t="shared" si="39"/>
        <v>3.71899251811485E-3</v>
      </c>
      <c r="BR25" s="546">
        <f t="shared" si="56"/>
        <v>2.3705813467393266E-2</v>
      </c>
      <c r="BS25" s="546">
        <f t="shared" si="40"/>
        <v>1.3988446586143805E-2</v>
      </c>
      <c r="BT25" s="546">
        <f t="shared" si="41"/>
        <v>2.0594703183335807E-2</v>
      </c>
      <c r="BU25" s="546">
        <f t="shared" si="42"/>
        <v>6.7200184320074657E-2</v>
      </c>
      <c r="BV25" s="655">
        <f t="shared" si="43"/>
        <v>8.8666666666666685E-3</v>
      </c>
      <c r="BW25" s="472">
        <f t="shared" si="57"/>
        <v>76.066850986741315</v>
      </c>
      <c r="BX25" s="179">
        <f t="shared" si="58"/>
        <v>0.29199002894560788</v>
      </c>
      <c r="BY25" s="6">
        <f t="shared" si="59"/>
        <v>1.33</v>
      </c>
      <c r="BZ25" s="179">
        <f t="shared" si="60"/>
        <v>0.81998037982057193</v>
      </c>
      <c r="CA25" s="6">
        <f t="shared" si="61"/>
        <v>81.998037982057198</v>
      </c>
      <c r="CB25">
        <f t="shared" si="62"/>
        <v>20</v>
      </c>
      <c r="CD25" s="581">
        <f t="shared" si="44"/>
        <v>-50</v>
      </c>
      <c r="CE25">
        <f t="shared" si="45"/>
        <v>-50</v>
      </c>
    </row>
    <row r="26" spans="5:83" x14ac:dyDescent="0.2">
      <c r="E26" s="176">
        <v>21</v>
      </c>
      <c r="F26" s="223">
        <f t="shared" si="63"/>
        <v>0.21</v>
      </c>
      <c r="G26" s="223">
        <f t="shared" si="46"/>
        <v>0.105</v>
      </c>
      <c r="H26" s="223">
        <f t="shared" si="0"/>
        <v>1.05</v>
      </c>
      <c r="I26" s="223">
        <f t="shared" si="64"/>
        <v>0.34649999999999997</v>
      </c>
      <c r="J26" s="559">
        <f t="shared" si="1"/>
        <v>24</v>
      </c>
      <c r="K26" s="454">
        <f t="shared" si="2"/>
        <v>15.899999999999999</v>
      </c>
      <c r="L26" s="454">
        <f t="shared" si="3"/>
        <v>39.9</v>
      </c>
      <c r="M26" s="454"/>
      <c r="N26" s="223">
        <f t="shared" si="4"/>
        <v>0.39849624060150374</v>
      </c>
      <c r="O26" s="178">
        <f t="shared" si="47"/>
        <v>4.8538639832664359</v>
      </c>
      <c r="P26" s="178">
        <f t="shared" si="5"/>
        <v>2.1303609022556387</v>
      </c>
      <c r="Q26" s="223">
        <f t="shared" si="6"/>
        <v>0.9707727966532872</v>
      </c>
      <c r="R26" s="223">
        <f t="shared" si="7"/>
        <v>1.4708678737171019</v>
      </c>
      <c r="S26" s="454">
        <f t="shared" si="8"/>
        <v>5</v>
      </c>
      <c r="T26" s="223">
        <f t="shared" si="9"/>
        <v>0.32448375262054507</v>
      </c>
      <c r="U26" s="223">
        <f t="shared" si="10"/>
        <v>0.40560469077568134</v>
      </c>
      <c r="V26" s="223">
        <f t="shared" si="11"/>
        <v>0.61223349551046247</v>
      </c>
      <c r="W26" s="203">
        <f t="shared" si="12"/>
        <v>350</v>
      </c>
      <c r="X26" s="454">
        <f t="shared" si="48"/>
        <v>350</v>
      </c>
      <c r="Z26" s="223">
        <f t="shared" si="13"/>
        <v>0.91084854994629427</v>
      </c>
      <c r="AA26" s="179">
        <f t="shared" si="14"/>
        <v>1.7185821697099894</v>
      </c>
      <c r="AB26" s="179">
        <f t="shared" si="15"/>
        <v>0.82181824055304764</v>
      </c>
      <c r="AC26" s="179"/>
      <c r="AD26" s="179">
        <f t="shared" si="16"/>
        <v>0.5660377358490567</v>
      </c>
      <c r="AE26" s="563">
        <f t="shared" si="17"/>
        <v>824.44444444444412</v>
      </c>
      <c r="AF26" s="546">
        <f t="shared" si="18"/>
        <v>8.9150943396226423E-2</v>
      </c>
      <c r="AH26" s="179">
        <f t="shared" si="19"/>
        <v>0.51575187832910507</v>
      </c>
      <c r="AI26" s="179">
        <f t="shared" si="20"/>
        <v>0.51575187832910507</v>
      </c>
      <c r="AJ26" s="179">
        <f t="shared" si="21"/>
        <v>1.3598162061697074</v>
      </c>
      <c r="AL26" s="563">
        <f t="shared" si="22"/>
        <v>210</v>
      </c>
      <c r="AM26" s="472">
        <f t="shared" si="23"/>
        <v>350</v>
      </c>
      <c r="AO26">
        <f t="shared" si="49"/>
        <v>210</v>
      </c>
      <c r="AP26" s="472">
        <f t="shared" si="24"/>
        <v>350</v>
      </c>
      <c r="AQ26" s="472"/>
      <c r="AR26" s="6">
        <f t="shared" si="50"/>
        <v>2.8571428571428572</v>
      </c>
      <c r="AS26" s="6">
        <f t="shared" si="25"/>
        <v>0.6446898479113814</v>
      </c>
      <c r="AT26" s="6">
        <f t="shared" si="51"/>
        <v>2.212453009231476</v>
      </c>
      <c r="AU26" s="179">
        <f t="shared" si="52"/>
        <v>0.22564144676898348</v>
      </c>
      <c r="AW26" s="6">
        <f t="shared" si="26"/>
        <v>2.7076973612278015</v>
      </c>
      <c r="AX26" s="6">
        <f t="shared" si="27"/>
        <v>2.0512858797180313</v>
      </c>
      <c r="AY26" s="6">
        <f t="shared" si="28"/>
        <v>8.9624832549886166E-2</v>
      </c>
      <c r="AZ26" s="6"/>
      <c r="BA26" s="179">
        <f t="shared" si="53"/>
        <v>0.1414456607565247</v>
      </c>
      <c r="BB26" s="179">
        <f t="shared" si="29"/>
        <v>0.78609040541044084</v>
      </c>
      <c r="BC26" s="179">
        <f t="shared" si="30"/>
        <v>0.38190892196190579</v>
      </c>
      <c r="BD26" s="179"/>
      <c r="BE26" s="546">
        <f t="shared" si="31"/>
        <v>7.0024062313974551E-3</v>
      </c>
      <c r="BF26" s="546">
        <f t="shared" si="32"/>
        <v>5.4018562356494632E-2</v>
      </c>
      <c r="BG26" s="546">
        <f t="shared" si="33"/>
        <v>4.3749999999999995E-3</v>
      </c>
      <c r="BH26" s="546">
        <f t="shared" si="34"/>
        <v>2.7860175000000001E-2</v>
      </c>
      <c r="BI26">
        <f t="shared" si="35"/>
        <v>6.96E-3</v>
      </c>
      <c r="BJ26">
        <f t="shared" si="36"/>
        <v>0.10140751691084605</v>
      </c>
      <c r="BK26" s="472">
        <f t="shared" si="54"/>
        <v>101.40751691084606</v>
      </c>
      <c r="BL26" s="179">
        <f t="shared" si="37"/>
        <v>8.1479999999999997E-2</v>
      </c>
      <c r="BM26" s="179">
        <f t="shared" si="38"/>
        <v>4.0739999999999998E-2</v>
      </c>
      <c r="BN26" s="546"/>
      <c r="BP26" s="472">
        <f t="shared" si="55"/>
        <v>122.22</v>
      </c>
      <c r="BQ26" s="546">
        <f t="shared" si="39"/>
        <v>4.0013749893699751E-3</v>
      </c>
      <c r="BR26" s="546">
        <f t="shared" si="56"/>
        <v>2.4717525019134049E-2</v>
      </c>
      <c r="BS26" s="546">
        <f t="shared" si="40"/>
        <v>1.4585442467410507E-2</v>
      </c>
      <c r="BT26" s="546">
        <f t="shared" si="41"/>
        <v>2.1889818519238099E-2</v>
      </c>
      <c r="BU26" s="546">
        <f t="shared" si="42"/>
        <v>7.0635387613553272E-2</v>
      </c>
      <c r="BV26" s="655">
        <f t="shared" si="43"/>
        <v>9.3100000000000006E-3</v>
      </c>
      <c r="BW26" s="472">
        <f t="shared" si="57"/>
        <v>79.945387613553265</v>
      </c>
      <c r="BX26" s="179">
        <f t="shared" si="58"/>
        <v>0.30357290452439928</v>
      </c>
      <c r="BY26" s="6">
        <f t="shared" si="59"/>
        <v>1.3965000000000001</v>
      </c>
      <c r="BZ26" s="179">
        <f t="shared" si="60"/>
        <v>0.82143536096804937</v>
      </c>
      <c r="CA26" s="6">
        <f t="shared" si="61"/>
        <v>82.143536096804937</v>
      </c>
      <c r="CB26">
        <f t="shared" si="62"/>
        <v>21</v>
      </c>
      <c r="CD26" s="581">
        <f t="shared" si="44"/>
        <v>-50</v>
      </c>
      <c r="CE26">
        <f t="shared" si="45"/>
        <v>-50</v>
      </c>
    </row>
    <row r="27" spans="5:83" x14ac:dyDescent="0.2">
      <c r="E27" s="176">
        <v>22</v>
      </c>
      <c r="F27" s="223">
        <f t="shared" si="63"/>
        <v>0.22</v>
      </c>
      <c r="G27" s="223">
        <f t="shared" si="46"/>
        <v>0.11</v>
      </c>
      <c r="H27" s="223">
        <f t="shared" si="0"/>
        <v>1.1000000000000001</v>
      </c>
      <c r="I27" s="223">
        <f t="shared" si="64"/>
        <v>0.36299999999999999</v>
      </c>
      <c r="J27" s="559">
        <f t="shared" si="1"/>
        <v>24</v>
      </c>
      <c r="K27" s="454">
        <f t="shared" si="2"/>
        <v>15.899999999999999</v>
      </c>
      <c r="L27" s="454">
        <f t="shared" si="3"/>
        <v>39.9</v>
      </c>
      <c r="M27" s="454"/>
      <c r="N27" s="223">
        <f t="shared" si="4"/>
        <v>0.39849624060150374</v>
      </c>
      <c r="O27" s="178">
        <f t="shared" si="47"/>
        <v>4.8538639832664359</v>
      </c>
      <c r="P27" s="178">
        <f t="shared" si="5"/>
        <v>2.1303609022556387</v>
      </c>
      <c r="Q27" s="223">
        <f t="shared" si="6"/>
        <v>0.9707727966532872</v>
      </c>
      <c r="R27" s="223">
        <f t="shared" si="7"/>
        <v>1.4708678737171019</v>
      </c>
      <c r="S27" s="454">
        <f t="shared" si="8"/>
        <v>5</v>
      </c>
      <c r="T27" s="223">
        <f t="shared" si="9"/>
        <v>0.33993535988819007</v>
      </c>
      <c r="U27" s="223">
        <f t="shared" si="10"/>
        <v>0.42491919986023757</v>
      </c>
      <c r="V27" s="223">
        <f t="shared" si="11"/>
        <v>0.64138747148715103</v>
      </c>
      <c r="W27" s="203">
        <f t="shared" si="12"/>
        <v>350</v>
      </c>
      <c r="X27" s="454">
        <f t="shared" si="48"/>
        <v>350</v>
      </c>
      <c r="Z27" s="223">
        <f t="shared" si="13"/>
        <v>0.91084854994629427</v>
      </c>
      <c r="AA27" s="179">
        <f t="shared" si="14"/>
        <v>1.7185821697099894</v>
      </c>
      <c r="AB27" s="179">
        <f t="shared" si="15"/>
        <v>0.82181824055304764</v>
      </c>
      <c r="AC27" s="179"/>
      <c r="AD27" s="179">
        <f t="shared" si="16"/>
        <v>0.5660377358490567</v>
      </c>
      <c r="AE27" s="563">
        <f t="shared" si="17"/>
        <v>863.7037037037037</v>
      </c>
      <c r="AF27" s="546">
        <f t="shared" si="18"/>
        <v>8.9150943396226423E-2</v>
      </c>
      <c r="AH27" s="179">
        <f t="shared" si="19"/>
        <v>0.52788887719544408</v>
      </c>
      <c r="AI27" s="179">
        <f t="shared" si="20"/>
        <v>0.52788887719544408</v>
      </c>
      <c r="AJ27" s="179">
        <f t="shared" si="21"/>
        <v>1.3688065757003289</v>
      </c>
      <c r="AL27" s="563">
        <f t="shared" si="22"/>
        <v>220</v>
      </c>
      <c r="AM27" s="472">
        <f t="shared" si="23"/>
        <v>350</v>
      </c>
      <c r="AO27">
        <f t="shared" si="49"/>
        <v>220</v>
      </c>
      <c r="AP27" s="472">
        <f t="shared" si="24"/>
        <v>350</v>
      </c>
      <c r="AQ27" s="472"/>
      <c r="AR27" s="6">
        <f t="shared" si="50"/>
        <v>2.8571428571428572</v>
      </c>
      <c r="AS27" s="6">
        <f t="shared" si="25"/>
        <v>0.65986109649430513</v>
      </c>
      <c r="AT27" s="6">
        <f t="shared" si="51"/>
        <v>2.197281760648552</v>
      </c>
      <c r="AU27" s="179">
        <f t="shared" si="52"/>
        <v>0.23095138377300678</v>
      </c>
      <c r="AW27" s="6">
        <f t="shared" si="26"/>
        <v>2.9033888245749431</v>
      </c>
      <c r="AX27" s="6">
        <f t="shared" si="27"/>
        <v>2.1995369883143505</v>
      </c>
      <c r="AY27" s="6">
        <f t="shared" si="28"/>
        <v>9.3248840150980214E-2</v>
      </c>
      <c r="AZ27" s="6"/>
      <c r="BA27" s="179">
        <f t="shared" si="53"/>
        <v>0.14646780337680346</v>
      </c>
      <c r="BB27" s="179">
        <f t="shared" si="29"/>
        <v>0.80182581847042467</v>
      </c>
      <c r="BC27" s="179">
        <f t="shared" si="30"/>
        <v>0.38955371014021462</v>
      </c>
      <c r="BD27" s="179"/>
      <c r="BE27" s="546">
        <f t="shared" si="31"/>
        <v>7.5084860991090846E-3</v>
      </c>
      <c r="BF27" s="546">
        <f t="shared" si="32"/>
        <v>5.5289761275257816E-2</v>
      </c>
      <c r="BG27" s="546">
        <f t="shared" si="33"/>
        <v>4.3749999999999995E-3</v>
      </c>
      <c r="BH27" s="546">
        <f t="shared" si="34"/>
        <v>2.7860175000000001E-2</v>
      </c>
      <c r="BI27">
        <f t="shared" si="35"/>
        <v>6.96E-3</v>
      </c>
      <c r="BJ27">
        <f t="shared" si="36"/>
        <v>0.10327575955337269</v>
      </c>
      <c r="BK27" s="472">
        <f t="shared" si="54"/>
        <v>103.27575955337269</v>
      </c>
      <c r="BL27" s="179">
        <f t="shared" si="37"/>
        <v>8.5360000000000005E-2</v>
      </c>
      <c r="BM27" s="179">
        <f t="shared" si="38"/>
        <v>4.2680000000000003E-2</v>
      </c>
      <c r="BN27" s="546"/>
      <c r="BP27" s="472">
        <f t="shared" si="55"/>
        <v>128.04000000000002</v>
      </c>
      <c r="BQ27" s="546">
        <f t="shared" si="39"/>
        <v>4.2905634852051918E-3</v>
      </c>
      <c r="BR27" s="546">
        <f t="shared" si="56"/>
        <v>2.5716985726630656E-2</v>
      </c>
      <c r="BS27" s="546">
        <f t="shared" si="40"/>
        <v>1.5175209308400633E-2</v>
      </c>
      <c r="BT27" s="546">
        <f t="shared" si="41"/>
        <v>2.3200449197953724E-2</v>
      </c>
      <c r="BU27" s="546">
        <f t="shared" si="42"/>
        <v>7.4072884119504107E-2</v>
      </c>
      <c r="BV27" s="655">
        <f t="shared" si="43"/>
        <v>9.7533333333333326E-3</v>
      </c>
      <c r="BW27" s="472">
        <f t="shared" si="57"/>
        <v>83.82621745283744</v>
      </c>
      <c r="BX27" s="179">
        <f t="shared" si="58"/>
        <v>0.31514197700621011</v>
      </c>
      <c r="BY27" s="6">
        <f t="shared" si="59"/>
        <v>1.4630000000000001</v>
      </c>
      <c r="BZ27" s="179">
        <f t="shared" si="60"/>
        <v>0.82276894585391736</v>
      </c>
      <c r="CA27" s="6">
        <f t="shared" si="61"/>
        <v>82.27689458539173</v>
      </c>
      <c r="CB27">
        <f t="shared" si="62"/>
        <v>22</v>
      </c>
      <c r="CD27" s="581">
        <f t="shared" si="44"/>
        <v>-50</v>
      </c>
      <c r="CE27">
        <f t="shared" si="45"/>
        <v>-50</v>
      </c>
    </row>
    <row r="28" spans="5:83" x14ac:dyDescent="0.2">
      <c r="E28" s="176">
        <v>23</v>
      </c>
      <c r="F28" s="223">
        <f t="shared" si="63"/>
        <v>0.23</v>
      </c>
      <c r="G28" s="223">
        <f t="shared" si="46"/>
        <v>0.115</v>
      </c>
      <c r="H28" s="223">
        <f t="shared" si="0"/>
        <v>1.1500000000000001</v>
      </c>
      <c r="I28" s="223">
        <f t="shared" si="64"/>
        <v>0.3795</v>
      </c>
      <c r="J28" s="559">
        <f t="shared" si="1"/>
        <v>24</v>
      </c>
      <c r="K28" s="454">
        <f t="shared" si="2"/>
        <v>15.899999999999999</v>
      </c>
      <c r="L28" s="454">
        <f t="shared" si="3"/>
        <v>39.9</v>
      </c>
      <c r="M28" s="454"/>
      <c r="N28" s="223">
        <f t="shared" si="4"/>
        <v>0.39849624060150374</v>
      </c>
      <c r="O28" s="178">
        <f t="shared" si="47"/>
        <v>4.8538639832664359</v>
      </c>
      <c r="P28" s="178">
        <f t="shared" si="5"/>
        <v>2.1303609022556387</v>
      </c>
      <c r="Q28" s="223">
        <f t="shared" si="6"/>
        <v>0.9707727966532872</v>
      </c>
      <c r="R28" s="223">
        <f t="shared" si="7"/>
        <v>1.4708678737171019</v>
      </c>
      <c r="S28" s="454">
        <f t="shared" si="8"/>
        <v>5</v>
      </c>
      <c r="T28" s="223">
        <f t="shared" si="9"/>
        <v>0.35538696715583507</v>
      </c>
      <c r="U28" s="223">
        <f t="shared" si="10"/>
        <v>0.44423370894479386</v>
      </c>
      <c r="V28" s="223">
        <f t="shared" si="11"/>
        <v>0.67054144746383981</v>
      </c>
      <c r="W28" s="203">
        <f t="shared" si="12"/>
        <v>350</v>
      </c>
      <c r="X28" s="454">
        <f t="shared" si="48"/>
        <v>350</v>
      </c>
      <c r="Z28" s="223">
        <f t="shared" si="13"/>
        <v>0.91084854994629427</v>
      </c>
      <c r="AA28" s="179">
        <f t="shared" si="14"/>
        <v>1.7185821697099894</v>
      </c>
      <c r="AB28" s="179">
        <f t="shared" si="15"/>
        <v>0.82181824055304764</v>
      </c>
      <c r="AC28" s="179"/>
      <c r="AD28" s="179">
        <f t="shared" si="16"/>
        <v>0.5660377358490567</v>
      </c>
      <c r="AE28" s="563">
        <f t="shared" si="17"/>
        <v>902.96296296296282</v>
      </c>
      <c r="AF28" s="546">
        <f t="shared" si="18"/>
        <v>8.9150943396226423E-2</v>
      </c>
      <c r="AH28" s="179">
        <f t="shared" si="19"/>
        <v>0.53975302994363383</v>
      </c>
      <c r="AI28" s="179">
        <f t="shared" si="20"/>
        <v>0.53975302994363383</v>
      </c>
      <c r="AJ28" s="179">
        <f t="shared" si="21"/>
        <v>1.3775948369952844</v>
      </c>
      <c r="AL28" s="563">
        <f t="shared" si="22"/>
        <v>230</v>
      </c>
      <c r="AM28" s="472">
        <f t="shared" si="23"/>
        <v>350</v>
      </c>
      <c r="AO28">
        <f t="shared" si="49"/>
        <v>230</v>
      </c>
      <c r="AP28" s="472">
        <f t="shared" si="24"/>
        <v>350</v>
      </c>
      <c r="AQ28" s="472"/>
      <c r="AR28" s="6">
        <f t="shared" si="50"/>
        <v>2.8571428571428572</v>
      </c>
      <c r="AS28" s="6">
        <f t="shared" si="25"/>
        <v>0.67469128742954232</v>
      </c>
      <c r="AT28" s="6">
        <f t="shared" si="51"/>
        <v>2.1824515697133151</v>
      </c>
      <c r="AU28" s="179">
        <f t="shared" si="52"/>
        <v>0.2361419506003398</v>
      </c>
      <c r="AW28" s="6">
        <f t="shared" si="26"/>
        <v>3.1035799221758946</v>
      </c>
      <c r="AX28" s="6">
        <f t="shared" si="27"/>
        <v>2.351196910739314</v>
      </c>
      <c r="AY28" s="6">
        <f t="shared" si="28"/>
        <v>9.6829448501941057E-2</v>
      </c>
      <c r="AZ28" s="6"/>
      <c r="BA28" s="179">
        <f t="shared" si="53"/>
        <v>0.15143317735141171</v>
      </c>
      <c r="BB28" s="179">
        <f t="shared" si="29"/>
        <v>0.81707523226157253</v>
      </c>
      <c r="BC28" s="179">
        <f t="shared" si="30"/>
        <v>0.39696238367374731</v>
      </c>
      <c r="BD28" s="179"/>
      <c r="BE28" s="546">
        <f t="shared" si="31"/>
        <v>8.0262025209604376E-3</v>
      </c>
      <c r="BF28" s="546">
        <f t="shared" si="32"/>
        <v>5.6532382973721339E-2</v>
      </c>
      <c r="BG28" s="546">
        <f t="shared" si="33"/>
        <v>4.3749999999999995E-3</v>
      </c>
      <c r="BH28" s="546">
        <f t="shared" si="34"/>
        <v>2.7860175000000001E-2</v>
      </c>
      <c r="BI28">
        <f t="shared" si="35"/>
        <v>6.96E-3</v>
      </c>
      <c r="BJ28">
        <f t="shared" si="36"/>
        <v>0.10512967177570508</v>
      </c>
      <c r="BK28" s="472">
        <f t="shared" si="54"/>
        <v>105.12967177570508</v>
      </c>
      <c r="BL28" s="179">
        <f t="shared" si="37"/>
        <v>8.9240000000000014E-2</v>
      </c>
      <c r="BM28" s="179">
        <f t="shared" si="38"/>
        <v>4.4620000000000007E-2</v>
      </c>
      <c r="BN28" s="546"/>
      <c r="BP28" s="472">
        <f t="shared" si="55"/>
        <v>133.86000000000004</v>
      </c>
      <c r="BQ28" s="546">
        <f t="shared" si="39"/>
        <v>4.5864014405488226E-3</v>
      </c>
      <c r="BR28" s="546">
        <f t="shared" si="56"/>
        <v>2.6704477407012109E-2</v>
      </c>
      <c r="BS28" s="546">
        <f t="shared" si="40"/>
        <v>1.5757913405194338E-2</v>
      </c>
      <c r="BT28" s="546">
        <f t="shared" si="41"/>
        <v>2.4526062893066192E-2</v>
      </c>
      <c r="BU28" s="546">
        <f t="shared" si="42"/>
        <v>7.7512459624943617E-2</v>
      </c>
      <c r="BV28" s="655">
        <f t="shared" si="43"/>
        <v>1.0196666666666665E-2</v>
      </c>
      <c r="BW28" s="472">
        <f t="shared" si="57"/>
        <v>87.709126291610275</v>
      </c>
      <c r="BX28" s="179">
        <f t="shared" si="58"/>
        <v>0.32669879806731539</v>
      </c>
      <c r="BY28" s="6">
        <f t="shared" si="59"/>
        <v>1.5295000000000001</v>
      </c>
      <c r="BZ28" s="179">
        <f t="shared" si="60"/>
        <v>0.82399579268800527</v>
      </c>
      <c r="CA28" s="6">
        <f t="shared" si="61"/>
        <v>82.399579268800522</v>
      </c>
      <c r="CB28">
        <f t="shared" si="62"/>
        <v>23</v>
      </c>
      <c r="CD28" s="581">
        <f t="shared" si="44"/>
        <v>-50</v>
      </c>
      <c r="CE28">
        <f t="shared" si="45"/>
        <v>-50</v>
      </c>
    </row>
    <row r="29" spans="5:83" x14ac:dyDescent="0.2">
      <c r="E29" s="176">
        <v>24</v>
      </c>
      <c r="F29" s="223">
        <f t="shared" si="63"/>
        <v>0.24</v>
      </c>
      <c r="G29" s="223">
        <f t="shared" si="46"/>
        <v>0.12</v>
      </c>
      <c r="H29" s="223">
        <f t="shared" si="0"/>
        <v>1.2</v>
      </c>
      <c r="I29" s="223">
        <f t="shared" si="64"/>
        <v>0.39599999999999996</v>
      </c>
      <c r="J29" s="559">
        <f t="shared" si="1"/>
        <v>24</v>
      </c>
      <c r="K29" s="454">
        <f t="shared" si="2"/>
        <v>15.899999999999999</v>
      </c>
      <c r="L29" s="454">
        <f t="shared" si="3"/>
        <v>39.9</v>
      </c>
      <c r="M29" s="454"/>
      <c r="N29" s="223">
        <f t="shared" si="4"/>
        <v>0.39849624060150374</v>
      </c>
      <c r="O29" s="178">
        <f t="shared" si="47"/>
        <v>4.8538639832664359</v>
      </c>
      <c r="P29" s="178">
        <f t="shared" si="5"/>
        <v>2.1303609022556387</v>
      </c>
      <c r="Q29" s="223">
        <f t="shared" si="6"/>
        <v>0.9707727966532872</v>
      </c>
      <c r="R29" s="223">
        <f t="shared" si="7"/>
        <v>1.4708678737171019</v>
      </c>
      <c r="S29" s="454">
        <f t="shared" si="8"/>
        <v>5</v>
      </c>
      <c r="T29" s="223">
        <f t="shared" si="9"/>
        <v>0.37083857442348006</v>
      </c>
      <c r="U29" s="223">
        <f t="shared" si="10"/>
        <v>0.46354821802935003</v>
      </c>
      <c r="V29" s="223">
        <f t="shared" si="11"/>
        <v>0.69969542344052849</v>
      </c>
      <c r="W29" s="203">
        <f t="shared" si="12"/>
        <v>350</v>
      </c>
      <c r="X29" s="454">
        <f t="shared" si="48"/>
        <v>350</v>
      </c>
      <c r="Z29" s="223">
        <f t="shared" si="13"/>
        <v>0.91084854994629427</v>
      </c>
      <c r="AA29" s="179">
        <f t="shared" si="14"/>
        <v>1.7185821697099894</v>
      </c>
      <c r="AB29" s="179">
        <f t="shared" si="15"/>
        <v>0.82181824055304764</v>
      </c>
      <c r="AC29" s="179"/>
      <c r="AD29" s="179">
        <f t="shared" si="16"/>
        <v>0.5660377358490567</v>
      </c>
      <c r="AE29" s="563">
        <f t="shared" si="17"/>
        <v>942.22222222222206</v>
      </c>
      <c r="AF29" s="546">
        <f t="shared" si="18"/>
        <v>8.9150943396226423E-2</v>
      </c>
      <c r="AH29" s="179">
        <f t="shared" si="19"/>
        <v>0.55136195008360889</v>
      </c>
      <c r="AI29" s="179">
        <f t="shared" si="20"/>
        <v>0.55136195008360889</v>
      </c>
      <c r="AJ29" s="179">
        <f t="shared" si="21"/>
        <v>1.3861940370989694</v>
      </c>
      <c r="AL29" s="563">
        <f t="shared" si="22"/>
        <v>240</v>
      </c>
      <c r="AM29" s="472">
        <f t="shared" si="23"/>
        <v>350</v>
      </c>
      <c r="AO29">
        <f t="shared" si="49"/>
        <v>240</v>
      </c>
      <c r="AP29" s="472">
        <f t="shared" si="24"/>
        <v>350</v>
      </c>
      <c r="AQ29" s="472"/>
      <c r="AR29" s="6">
        <f t="shared" si="50"/>
        <v>2.8571428571428572</v>
      </c>
      <c r="AS29" s="6">
        <f t="shared" si="25"/>
        <v>0.68920243760451116</v>
      </c>
      <c r="AT29" s="6">
        <f t="shared" si="51"/>
        <v>2.167940419538346</v>
      </c>
      <c r="AU29" s="179">
        <f t="shared" si="52"/>
        <v>0.2412208531615789</v>
      </c>
      <c r="AW29" s="6">
        <f t="shared" si="26"/>
        <v>3.3081717005016538</v>
      </c>
      <c r="AX29" s="6">
        <f t="shared" si="27"/>
        <v>2.5061906821982225</v>
      </c>
      <c r="AY29" s="6">
        <f t="shared" si="28"/>
        <v>0.10036761201566416</v>
      </c>
      <c r="AZ29" s="6"/>
      <c r="BA29" s="179">
        <f t="shared" si="53"/>
        <v>0.15634485319438349</v>
      </c>
      <c r="BB29" s="179">
        <f t="shared" si="29"/>
        <v>0.83186932983290107</v>
      </c>
      <c r="BC29" s="179">
        <f t="shared" si="30"/>
        <v>0.40414984941048443</v>
      </c>
      <c r="BD29" s="179"/>
      <c r="BE29" s="546">
        <f t="shared" si="31"/>
        <v>8.5552995921306628E-3</v>
      </c>
      <c r="BF29" s="546">
        <f t="shared" si="32"/>
        <v>5.7748272246881976E-2</v>
      </c>
      <c r="BG29" s="546">
        <f t="shared" si="33"/>
        <v>4.3749999999999995E-3</v>
      </c>
      <c r="BH29" s="546">
        <f t="shared" si="34"/>
        <v>2.7860175000000001E-2</v>
      </c>
      <c r="BI29">
        <f t="shared" si="35"/>
        <v>6.96E-3</v>
      </c>
      <c r="BJ29">
        <f t="shared" si="36"/>
        <v>0.1069708177858928</v>
      </c>
      <c r="BK29" s="472">
        <f t="shared" si="54"/>
        <v>106.97081778589281</v>
      </c>
      <c r="BL29" s="179">
        <f t="shared" si="37"/>
        <v>9.3119999999999994E-2</v>
      </c>
      <c r="BM29" s="179">
        <f t="shared" si="38"/>
        <v>4.6559999999999997E-2</v>
      </c>
      <c r="BN29" s="546"/>
      <c r="BP29" s="472">
        <f t="shared" si="55"/>
        <v>139.68</v>
      </c>
      <c r="BQ29" s="546">
        <f t="shared" si="39"/>
        <v>4.8887426240746649E-3</v>
      </c>
      <c r="BR29" s="546">
        <f t="shared" si="56"/>
        <v>2.76802632766656E-2</v>
      </c>
      <c r="BS29" s="546">
        <f t="shared" si="40"/>
        <v>1.6333710077851723E-2</v>
      </c>
      <c r="BT29" s="546">
        <f t="shared" si="41"/>
        <v>2.5866168044435662E-2</v>
      </c>
      <c r="BU29" s="546">
        <f t="shared" si="42"/>
        <v>8.0953919262141114E-2</v>
      </c>
      <c r="BV29" s="655">
        <f t="shared" si="43"/>
        <v>1.064E-2</v>
      </c>
      <c r="BW29" s="472">
        <f t="shared" si="57"/>
        <v>91.593919262141114</v>
      </c>
      <c r="BX29" s="179">
        <f t="shared" si="58"/>
        <v>0.33824473704803387</v>
      </c>
      <c r="BY29" s="6">
        <f t="shared" si="59"/>
        <v>1.5959999999999999</v>
      </c>
      <c r="BZ29" s="179">
        <f t="shared" si="60"/>
        <v>0.82512826294967756</v>
      </c>
      <c r="CA29" s="6">
        <f t="shared" si="61"/>
        <v>82.512826294967752</v>
      </c>
      <c r="CB29">
        <f t="shared" si="62"/>
        <v>24</v>
      </c>
      <c r="CD29" s="581">
        <f t="shared" si="44"/>
        <v>-50</v>
      </c>
      <c r="CE29">
        <f t="shared" si="45"/>
        <v>-50</v>
      </c>
    </row>
    <row r="30" spans="5:83" x14ac:dyDescent="0.2">
      <c r="E30" s="176">
        <v>25</v>
      </c>
      <c r="F30" s="223">
        <f t="shared" si="63"/>
        <v>0.25</v>
      </c>
      <c r="G30" s="223">
        <f t="shared" si="46"/>
        <v>0.125</v>
      </c>
      <c r="H30" s="223">
        <f t="shared" si="0"/>
        <v>1.25</v>
      </c>
      <c r="I30" s="223">
        <f t="shared" si="64"/>
        <v>0.41249999999999998</v>
      </c>
      <c r="J30" s="559">
        <f t="shared" si="1"/>
        <v>24</v>
      </c>
      <c r="K30" s="454">
        <f t="shared" si="2"/>
        <v>15.899999999999999</v>
      </c>
      <c r="L30" s="454">
        <f t="shared" si="3"/>
        <v>39.9</v>
      </c>
      <c r="M30" s="454"/>
      <c r="N30" s="223">
        <f t="shared" si="4"/>
        <v>0.39849624060150374</v>
      </c>
      <c r="O30" s="178">
        <f t="shared" si="47"/>
        <v>4.8538639832664359</v>
      </c>
      <c r="P30" s="178">
        <f t="shared" si="5"/>
        <v>2.1303609022556387</v>
      </c>
      <c r="Q30" s="223">
        <f t="shared" si="6"/>
        <v>0.9707727966532872</v>
      </c>
      <c r="R30" s="223">
        <f t="shared" si="7"/>
        <v>1.4708678737171019</v>
      </c>
      <c r="S30" s="454">
        <f t="shared" si="8"/>
        <v>5</v>
      </c>
      <c r="T30" s="223">
        <f t="shared" si="9"/>
        <v>0.38629018169112511</v>
      </c>
      <c r="U30" s="223">
        <f t="shared" si="10"/>
        <v>0.48286272711390643</v>
      </c>
      <c r="V30" s="223">
        <f t="shared" si="11"/>
        <v>0.72884939941721727</v>
      </c>
      <c r="W30" s="203">
        <f t="shared" si="12"/>
        <v>350</v>
      </c>
      <c r="X30" s="454">
        <f t="shared" si="48"/>
        <v>350</v>
      </c>
      <c r="Z30" s="223">
        <f t="shared" si="13"/>
        <v>0.91084854994629427</v>
      </c>
      <c r="AA30" s="179">
        <f t="shared" si="14"/>
        <v>1.7185821697099894</v>
      </c>
      <c r="AB30" s="179">
        <f t="shared" si="15"/>
        <v>0.82181824055304764</v>
      </c>
      <c r="AC30" s="179"/>
      <c r="AD30" s="179">
        <f t="shared" si="16"/>
        <v>0.5660377358490567</v>
      </c>
      <c r="AE30" s="563">
        <f t="shared" si="17"/>
        <v>981.48148148148141</v>
      </c>
      <c r="AF30" s="546">
        <f t="shared" si="18"/>
        <v>8.9150943396226423E-2</v>
      </c>
      <c r="AH30" s="179">
        <f t="shared" si="19"/>
        <v>0.56273143387113778</v>
      </c>
      <c r="AI30" s="179">
        <f t="shared" si="20"/>
        <v>0.56273143387113778</v>
      </c>
      <c r="AJ30" s="179">
        <f t="shared" si="21"/>
        <v>1.3946158769415835</v>
      </c>
      <c r="AL30" s="563">
        <f t="shared" si="22"/>
        <v>250</v>
      </c>
      <c r="AM30" s="472">
        <f t="shared" si="23"/>
        <v>350</v>
      </c>
      <c r="AO30">
        <f t="shared" si="49"/>
        <v>250</v>
      </c>
      <c r="AP30" s="472">
        <f t="shared" si="24"/>
        <v>350</v>
      </c>
      <c r="AQ30" s="472"/>
      <c r="AR30" s="6">
        <f t="shared" si="50"/>
        <v>2.8571428571428572</v>
      </c>
      <c r="AS30" s="6">
        <f t="shared" si="25"/>
        <v>0.70341429233892216</v>
      </c>
      <c r="AT30" s="6">
        <f t="shared" si="51"/>
        <v>2.1537285648039353</v>
      </c>
      <c r="AU30" s="179">
        <f t="shared" si="52"/>
        <v>0.24619500231862276</v>
      </c>
      <c r="AW30" s="6">
        <f t="shared" si="26"/>
        <v>3.517071461694611</v>
      </c>
      <c r="AX30" s="6">
        <f t="shared" si="27"/>
        <v>2.6644480770413717</v>
      </c>
      <c r="AY30" s="6">
        <f t="shared" si="28"/>
        <v>0.10386422476870828</v>
      </c>
      <c r="AZ30" s="6"/>
      <c r="BA30" s="179">
        <f t="shared" si="53"/>
        <v>0.16120561480526513</v>
      </c>
      <c r="BB30" s="179">
        <f t="shared" si="29"/>
        <v>0.84623563373170974</v>
      </c>
      <c r="BC30" s="179">
        <f t="shared" si="30"/>
        <v>0.41112947872132227</v>
      </c>
      <c r="BD30" s="179"/>
      <c r="BE30" s="546">
        <f t="shared" si="31"/>
        <v>9.0955375856602311E-3</v>
      </c>
      <c r="BF30" s="546">
        <f t="shared" si="32"/>
        <v>5.8939083555078285E-2</v>
      </c>
      <c r="BG30" s="546">
        <f t="shared" si="33"/>
        <v>4.3749999999999995E-3</v>
      </c>
      <c r="BH30" s="546">
        <f t="shared" si="34"/>
        <v>2.7860175000000001E-2</v>
      </c>
      <c r="BI30">
        <f t="shared" si="35"/>
        <v>6.96E-3</v>
      </c>
      <c r="BJ30">
        <f t="shared" si="36"/>
        <v>0.10880059006500305</v>
      </c>
      <c r="BK30" s="472">
        <f t="shared" si="54"/>
        <v>108.80059006500305</v>
      </c>
      <c r="BL30" s="179">
        <f t="shared" si="37"/>
        <v>9.7000000000000003E-2</v>
      </c>
      <c r="BM30" s="179">
        <f t="shared" si="38"/>
        <v>4.8500000000000001E-2</v>
      </c>
      <c r="BN30" s="546"/>
      <c r="BP30" s="472">
        <f t="shared" si="55"/>
        <v>145.50000000000003</v>
      </c>
      <c r="BQ30" s="546">
        <f t="shared" si="39"/>
        <v>5.1974500489487038E-3</v>
      </c>
      <c r="BR30" s="546">
        <f t="shared" si="56"/>
        <v>2.8644589911892337E-2</v>
      </c>
      <c r="BS30" s="546">
        <f t="shared" si="40"/>
        <v>1.6902744827366617E-2</v>
      </c>
      <c r="BT30" s="546">
        <f t="shared" si="41"/>
        <v>2.7220309156433992E-2</v>
      </c>
      <c r="BU30" s="546">
        <f t="shared" si="42"/>
        <v>8.4397085072727987E-2</v>
      </c>
      <c r="BV30" s="655">
        <f t="shared" si="43"/>
        <v>1.1083333333333334E-2</v>
      </c>
      <c r="BW30" s="472">
        <f t="shared" si="57"/>
        <v>95.480418406061318</v>
      </c>
      <c r="BX30" s="179">
        <f t="shared" si="58"/>
        <v>0.34978100847106436</v>
      </c>
      <c r="BY30" s="6">
        <f t="shared" si="59"/>
        <v>1.6625000000000001</v>
      </c>
      <c r="BZ30" s="179">
        <f t="shared" si="60"/>
        <v>0.82617685750717851</v>
      </c>
      <c r="CA30" s="6">
        <f t="shared" si="61"/>
        <v>82.617685750717854</v>
      </c>
      <c r="CB30">
        <f t="shared" si="62"/>
        <v>25</v>
      </c>
      <c r="CD30" s="581">
        <f t="shared" si="44"/>
        <v>-50</v>
      </c>
      <c r="CE30">
        <f t="shared" si="45"/>
        <v>-50</v>
      </c>
    </row>
    <row r="31" spans="5:83" x14ac:dyDescent="0.2">
      <c r="E31" s="176">
        <v>26</v>
      </c>
      <c r="F31" s="223">
        <f t="shared" si="63"/>
        <v>0.26</v>
      </c>
      <c r="G31" s="223">
        <f t="shared" si="46"/>
        <v>0.13</v>
      </c>
      <c r="H31" s="223">
        <f t="shared" si="0"/>
        <v>1.3</v>
      </c>
      <c r="I31" s="223">
        <f t="shared" si="64"/>
        <v>0.42899999999999999</v>
      </c>
      <c r="J31" s="559">
        <f t="shared" si="1"/>
        <v>24</v>
      </c>
      <c r="K31" s="454">
        <f t="shared" si="2"/>
        <v>15.899999999999999</v>
      </c>
      <c r="L31" s="454">
        <f t="shared" si="3"/>
        <v>39.9</v>
      </c>
      <c r="M31" s="454"/>
      <c r="N31" s="223">
        <f t="shared" si="4"/>
        <v>0.39849624060150374</v>
      </c>
      <c r="O31" s="178">
        <f t="shared" si="47"/>
        <v>4.8538639832664359</v>
      </c>
      <c r="P31" s="178">
        <f t="shared" si="5"/>
        <v>2.1303609022556387</v>
      </c>
      <c r="Q31" s="223">
        <f t="shared" si="6"/>
        <v>0.9707727966532872</v>
      </c>
      <c r="R31" s="223">
        <f t="shared" si="7"/>
        <v>1.4708678737171019</v>
      </c>
      <c r="S31" s="454">
        <f t="shared" si="8"/>
        <v>5</v>
      </c>
      <c r="T31" s="223">
        <f t="shared" si="9"/>
        <v>0.40174178895877011</v>
      </c>
      <c r="U31" s="223">
        <f t="shared" si="10"/>
        <v>0.50217723619846266</v>
      </c>
      <c r="V31" s="223">
        <f t="shared" si="11"/>
        <v>0.75800337539390594</v>
      </c>
      <c r="W31" s="203">
        <f t="shared" si="12"/>
        <v>350</v>
      </c>
      <c r="X31" s="454">
        <f t="shared" si="48"/>
        <v>350</v>
      </c>
      <c r="Z31" s="223">
        <f t="shared" si="13"/>
        <v>0.91084854994629427</v>
      </c>
      <c r="AA31" s="179">
        <f t="shared" si="14"/>
        <v>1.7185821697099894</v>
      </c>
      <c r="AB31" s="179">
        <f t="shared" si="15"/>
        <v>0.82181824055304764</v>
      </c>
      <c r="AC31" s="179"/>
      <c r="AD31" s="179">
        <f t="shared" si="16"/>
        <v>0.5660377358490567</v>
      </c>
      <c r="AE31" s="563">
        <f t="shared" si="17"/>
        <v>1020.7407407407405</v>
      </c>
      <c r="AF31" s="546">
        <f t="shared" si="18"/>
        <v>8.9150943396226423E-2</v>
      </c>
      <c r="AH31" s="179">
        <f t="shared" si="19"/>
        <v>0.57387571244419588</v>
      </c>
      <c r="AI31" s="179">
        <f t="shared" si="20"/>
        <v>0.57387571244419588</v>
      </c>
      <c r="AJ31" s="179">
        <f t="shared" si="21"/>
        <v>1.4028708981068116</v>
      </c>
      <c r="AL31" s="563">
        <f t="shared" si="22"/>
        <v>260</v>
      </c>
      <c r="AM31" s="472">
        <f t="shared" si="23"/>
        <v>350</v>
      </c>
      <c r="AO31">
        <f t="shared" si="49"/>
        <v>260</v>
      </c>
      <c r="AP31" s="472">
        <f t="shared" si="24"/>
        <v>350</v>
      </c>
      <c r="AQ31" s="472"/>
      <c r="AR31" s="6">
        <f t="shared" si="50"/>
        <v>2.8571428571428572</v>
      </c>
      <c r="AS31" s="6">
        <f t="shared" si="25"/>
        <v>0.71734464055524483</v>
      </c>
      <c r="AT31" s="6">
        <f t="shared" si="51"/>
        <v>2.1397982165876126</v>
      </c>
      <c r="AU31" s="179">
        <f t="shared" si="52"/>
        <v>0.25107062419433568</v>
      </c>
      <c r="AW31" s="6">
        <f t="shared" si="26"/>
        <v>3.7301921308872732</v>
      </c>
      <c r="AX31" s="6">
        <f t="shared" si="27"/>
        <v>2.8259031294600554</v>
      </c>
      <c r="AY31" s="6">
        <f t="shared" si="28"/>
        <v>0.10732012660354537</v>
      </c>
      <c r="AZ31" s="6"/>
      <c r="BA31" s="179">
        <f t="shared" si="53"/>
        <v>0.16601799658270108</v>
      </c>
      <c r="BB31" s="179">
        <f t="shared" si="29"/>
        <v>0.8601989440216703</v>
      </c>
      <c r="BC31" s="179">
        <f t="shared" si="30"/>
        <v>0.41791332030386147</v>
      </c>
      <c r="BD31" s="179"/>
      <c r="BE31" s="546">
        <f t="shared" si="31"/>
        <v>9.646691316266812E-3</v>
      </c>
      <c r="BF31" s="546">
        <f t="shared" si="32"/>
        <v>6.0106307432123959E-2</v>
      </c>
      <c r="BG31" s="546">
        <f t="shared" si="33"/>
        <v>4.3749999999999995E-3</v>
      </c>
      <c r="BH31" s="546">
        <f t="shared" si="34"/>
        <v>2.7860175000000001E-2</v>
      </c>
      <c r="BI31">
        <f t="shared" si="35"/>
        <v>6.96E-3</v>
      </c>
      <c r="BJ31">
        <f t="shared" si="36"/>
        <v>0.11062023389611791</v>
      </c>
      <c r="BK31" s="472">
        <f t="shared" si="54"/>
        <v>110.62023389611791</v>
      </c>
      <c r="BL31" s="179">
        <f t="shared" si="37"/>
        <v>0.10088000000000001</v>
      </c>
      <c r="BM31" s="179">
        <f t="shared" si="38"/>
        <v>5.0440000000000006E-2</v>
      </c>
      <c r="BN31" s="546"/>
      <c r="BP31" s="472">
        <f t="shared" si="55"/>
        <v>151.32000000000002</v>
      </c>
      <c r="BQ31" s="546">
        <f t="shared" si="39"/>
        <v>5.5123950378667503E-3</v>
      </c>
      <c r="BR31" s="546">
        <f t="shared" si="56"/>
        <v>2.9597688931839866E-2</v>
      </c>
      <c r="BS31" s="546">
        <f t="shared" si="40"/>
        <v>1.7465154328739792E-2</v>
      </c>
      <c r="BT31" s="546">
        <f t="shared" si="41"/>
        <v>2.8588062806098598E-2</v>
      </c>
      <c r="BU31" s="546">
        <f t="shared" si="42"/>
        <v>8.7841793960360903E-2</v>
      </c>
      <c r="BV31" s="655">
        <f t="shared" si="43"/>
        <v>1.1526666666666671E-2</v>
      </c>
      <c r="BW31" s="472">
        <f t="shared" si="57"/>
        <v>99.368460627027574</v>
      </c>
      <c r="BX31" s="179">
        <f t="shared" si="58"/>
        <v>0.36130869452314551</v>
      </c>
      <c r="BY31" s="6">
        <f t="shared" si="59"/>
        <v>1.7290000000000001</v>
      </c>
      <c r="BZ31" s="179">
        <f t="shared" si="60"/>
        <v>0.82715055653271852</v>
      </c>
      <c r="CA31" s="6">
        <f t="shared" si="61"/>
        <v>82.715055653271847</v>
      </c>
      <c r="CB31">
        <f t="shared" si="62"/>
        <v>26</v>
      </c>
      <c r="CD31" s="581">
        <f t="shared" si="44"/>
        <v>-50</v>
      </c>
      <c r="CE31">
        <f t="shared" si="45"/>
        <v>-50</v>
      </c>
    </row>
    <row r="32" spans="5:83" x14ac:dyDescent="0.2">
      <c r="E32" s="176">
        <v>27</v>
      </c>
      <c r="F32" s="223">
        <f t="shared" si="63"/>
        <v>0.27</v>
      </c>
      <c r="G32" s="223">
        <f t="shared" si="46"/>
        <v>0.13500000000000001</v>
      </c>
      <c r="H32" s="223">
        <f t="shared" si="0"/>
        <v>1.35</v>
      </c>
      <c r="I32" s="223">
        <f t="shared" si="64"/>
        <v>0.44550000000000001</v>
      </c>
      <c r="J32" s="559">
        <f t="shared" si="1"/>
        <v>24</v>
      </c>
      <c r="K32" s="454">
        <f t="shared" si="2"/>
        <v>15.899999999999999</v>
      </c>
      <c r="L32" s="454">
        <f t="shared" si="3"/>
        <v>39.9</v>
      </c>
      <c r="M32" s="454"/>
      <c r="N32" s="223">
        <f t="shared" si="4"/>
        <v>0.39849624060150374</v>
      </c>
      <c r="O32" s="178">
        <f t="shared" si="47"/>
        <v>4.8538639832664359</v>
      </c>
      <c r="P32" s="178">
        <f t="shared" si="5"/>
        <v>2.1303609022556387</v>
      </c>
      <c r="Q32" s="223">
        <f t="shared" si="6"/>
        <v>0.9707727966532872</v>
      </c>
      <c r="R32" s="223">
        <f t="shared" si="7"/>
        <v>1.4708678737171019</v>
      </c>
      <c r="S32" s="454">
        <f t="shared" si="8"/>
        <v>5</v>
      </c>
      <c r="T32" s="223">
        <f t="shared" si="9"/>
        <v>0.4171933962264151</v>
      </c>
      <c r="U32" s="223">
        <f t="shared" si="10"/>
        <v>0.52149174528301878</v>
      </c>
      <c r="V32" s="223">
        <f t="shared" si="11"/>
        <v>0.7871573513705945</v>
      </c>
      <c r="W32" s="203">
        <f t="shared" si="12"/>
        <v>350</v>
      </c>
      <c r="X32" s="454">
        <f t="shared" si="48"/>
        <v>350</v>
      </c>
      <c r="Z32" s="223">
        <f t="shared" si="13"/>
        <v>0.91084854994629427</v>
      </c>
      <c r="AA32" s="179">
        <f t="shared" si="14"/>
        <v>1.7185821697099894</v>
      </c>
      <c r="AB32" s="179">
        <f t="shared" si="15"/>
        <v>0.82181824055304764</v>
      </c>
      <c r="AC32" s="179"/>
      <c r="AD32" s="179">
        <f t="shared" si="16"/>
        <v>0.5660377358490567</v>
      </c>
      <c r="AE32" s="563">
        <f t="shared" si="17"/>
        <v>1059.9999999999998</v>
      </c>
      <c r="AF32" s="546">
        <f t="shared" si="18"/>
        <v>8.9150943396226423E-2</v>
      </c>
      <c r="AH32" s="179">
        <f t="shared" si="19"/>
        <v>0.58480766068853784</v>
      </c>
      <c r="AI32" s="179">
        <f t="shared" si="20"/>
        <v>0.58480766068853784</v>
      </c>
      <c r="AJ32" s="179">
        <f t="shared" si="21"/>
        <v>1.4109686375470649</v>
      </c>
      <c r="AL32" s="563">
        <f t="shared" si="22"/>
        <v>270</v>
      </c>
      <c r="AM32" s="472">
        <f t="shared" si="23"/>
        <v>350</v>
      </c>
      <c r="AO32">
        <f t="shared" si="49"/>
        <v>270</v>
      </c>
      <c r="AP32" s="472">
        <f t="shared" si="24"/>
        <v>350</v>
      </c>
      <c r="AQ32" s="472"/>
      <c r="AR32" s="6">
        <f t="shared" si="50"/>
        <v>2.8571428571428572</v>
      </c>
      <c r="AS32" s="6">
        <f t="shared" si="25"/>
        <v>0.73100957586067228</v>
      </c>
      <c r="AT32" s="6">
        <f t="shared" si="51"/>
        <v>2.1261332812821849</v>
      </c>
      <c r="AU32" s="179">
        <f t="shared" si="52"/>
        <v>0.25585335155123529</v>
      </c>
      <c r="AW32" s="6">
        <f t="shared" si="26"/>
        <v>3.9474517096476309</v>
      </c>
      <c r="AX32" s="6">
        <f t="shared" si="27"/>
        <v>2.9904937194300234</v>
      </c>
      <c r="AY32" s="6">
        <f t="shared" si="28"/>
        <v>0.11073610840011378</v>
      </c>
      <c r="AZ32" s="6"/>
      <c r="BA32" s="179">
        <f t="shared" si="53"/>
        <v>0.17078431449299092</v>
      </c>
      <c r="BB32" s="179">
        <f t="shared" si="29"/>
        <v>0.87378170117508913</v>
      </c>
      <c r="BC32" s="179">
        <f t="shared" si="30"/>
        <v>0.42451227648756407</v>
      </c>
      <c r="BD32" s="179"/>
      <c r="BE32" s="546">
        <f t="shared" si="31"/>
        <v>1.0208548726894289E-2</v>
      </c>
      <c r="BF32" s="546">
        <f t="shared" si="32"/>
        <v>6.1251292361365728E-2</v>
      </c>
      <c r="BG32" s="546">
        <f t="shared" si="33"/>
        <v>4.3749999999999995E-3</v>
      </c>
      <c r="BH32" s="546">
        <f t="shared" si="34"/>
        <v>2.7860175000000001E-2</v>
      </c>
      <c r="BI32">
        <f t="shared" si="35"/>
        <v>6.96E-3</v>
      </c>
      <c r="BJ32">
        <f t="shared" si="36"/>
        <v>0.1124308676170907</v>
      </c>
      <c r="BK32" s="472">
        <f t="shared" si="54"/>
        <v>112.4308676170907</v>
      </c>
      <c r="BL32" s="179">
        <f t="shared" si="37"/>
        <v>0.10476000000000001</v>
      </c>
      <c r="BM32" s="179">
        <f t="shared" si="38"/>
        <v>5.2380000000000003E-2</v>
      </c>
      <c r="BN32" s="546"/>
      <c r="BP32" s="472">
        <f t="shared" si="55"/>
        <v>157.14000000000001</v>
      </c>
      <c r="BQ32" s="546">
        <f t="shared" si="39"/>
        <v>5.833456415368166E-3</v>
      </c>
      <c r="BR32" s="546">
        <f t="shared" si="56"/>
        <v>3.0539778452337314E-2</v>
      </c>
      <c r="BS32" s="546">
        <f t="shared" si="40"/>
        <v>1.8021067288865402E-2</v>
      </c>
      <c r="BT32" s="546">
        <f t="shared" si="41"/>
        <v>2.99690342306487E-2</v>
      </c>
      <c r="BU32" s="546">
        <f t="shared" si="42"/>
        <v>9.1287895957684898E-2</v>
      </c>
      <c r="BV32" s="655">
        <f t="shared" si="43"/>
        <v>1.1970000000000001E-2</v>
      </c>
      <c r="BW32" s="472">
        <f t="shared" si="57"/>
        <v>103.25789595768489</v>
      </c>
      <c r="BX32" s="179">
        <f t="shared" si="58"/>
        <v>0.37282876357477557</v>
      </c>
      <c r="BY32" s="6">
        <f t="shared" si="59"/>
        <v>1.7955000000000001</v>
      </c>
      <c r="BZ32" s="179">
        <f t="shared" si="60"/>
        <v>0.82805708717338689</v>
      </c>
      <c r="CA32" s="6">
        <f t="shared" si="61"/>
        <v>82.805708717338689</v>
      </c>
      <c r="CB32">
        <f t="shared" si="62"/>
        <v>27</v>
      </c>
      <c r="CD32" s="581">
        <f t="shared" si="44"/>
        <v>-50</v>
      </c>
      <c r="CE32">
        <f t="shared" si="45"/>
        <v>-50</v>
      </c>
    </row>
    <row r="33" spans="5:83" x14ac:dyDescent="0.2">
      <c r="E33" s="176">
        <v>28</v>
      </c>
      <c r="F33" s="223">
        <f t="shared" si="63"/>
        <v>0.28000000000000003</v>
      </c>
      <c r="G33" s="223">
        <f t="shared" si="46"/>
        <v>0.14000000000000001</v>
      </c>
      <c r="H33" s="223">
        <f t="shared" si="0"/>
        <v>1.4000000000000001</v>
      </c>
      <c r="I33" s="223">
        <f t="shared" si="64"/>
        <v>0.46200000000000002</v>
      </c>
      <c r="J33" s="559">
        <f t="shared" si="1"/>
        <v>24</v>
      </c>
      <c r="K33" s="454">
        <f t="shared" si="2"/>
        <v>15.899999999999999</v>
      </c>
      <c r="L33" s="454">
        <f t="shared" si="3"/>
        <v>39.9</v>
      </c>
      <c r="M33" s="454"/>
      <c r="N33" s="223">
        <f t="shared" si="4"/>
        <v>0.39849624060150374</v>
      </c>
      <c r="O33" s="178">
        <f t="shared" si="47"/>
        <v>4.8538639832664359</v>
      </c>
      <c r="P33" s="178">
        <f t="shared" si="5"/>
        <v>2.1303609022556387</v>
      </c>
      <c r="Q33" s="223">
        <f t="shared" si="6"/>
        <v>0.9707727966532872</v>
      </c>
      <c r="R33" s="223">
        <f t="shared" si="7"/>
        <v>1.4708678737171019</v>
      </c>
      <c r="S33" s="454">
        <f t="shared" si="8"/>
        <v>5</v>
      </c>
      <c r="T33" s="223">
        <f t="shared" si="9"/>
        <v>0.4326450034940601</v>
      </c>
      <c r="U33" s="223">
        <f t="shared" si="10"/>
        <v>0.54080625436757512</v>
      </c>
      <c r="V33" s="223">
        <f t="shared" si="11"/>
        <v>0.81631132734728329</v>
      </c>
      <c r="W33" s="203">
        <f t="shared" si="12"/>
        <v>350</v>
      </c>
      <c r="X33" s="454">
        <f t="shared" si="48"/>
        <v>350</v>
      </c>
      <c r="Z33" s="223">
        <f t="shared" si="13"/>
        <v>0.91084854994629427</v>
      </c>
      <c r="AA33" s="179">
        <f t="shared" si="14"/>
        <v>1.7185821697099894</v>
      </c>
      <c r="AB33" s="179">
        <f t="shared" si="15"/>
        <v>0.82181824055304764</v>
      </c>
      <c r="AC33" s="179"/>
      <c r="AD33" s="179">
        <f t="shared" si="16"/>
        <v>0.5660377358490567</v>
      </c>
      <c r="AE33" s="563">
        <f t="shared" si="17"/>
        <v>1099.2592592592591</v>
      </c>
      <c r="AF33" s="546">
        <f t="shared" si="18"/>
        <v>8.9150943396226423E-2</v>
      </c>
      <c r="AH33" s="179">
        <f t="shared" si="19"/>
        <v>0.59553897157672786</v>
      </c>
      <c r="AI33" s="179">
        <f t="shared" si="20"/>
        <v>0.59553897157672786</v>
      </c>
      <c r="AJ33" s="179">
        <f t="shared" si="21"/>
        <v>1.4189177567235021</v>
      </c>
      <c r="AL33" s="563">
        <f t="shared" si="22"/>
        <v>280</v>
      </c>
      <c r="AM33" s="472">
        <f t="shared" si="23"/>
        <v>350</v>
      </c>
      <c r="AO33">
        <f t="shared" si="49"/>
        <v>280</v>
      </c>
      <c r="AP33" s="472">
        <f t="shared" si="24"/>
        <v>350</v>
      </c>
      <c r="AQ33" s="472"/>
      <c r="AR33" s="6">
        <f t="shared" si="50"/>
        <v>2.8571428571428572</v>
      </c>
      <c r="AS33" s="6">
        <f t="shared" si="25"/>
        <v>0.74442371447090983</v>
      </c>
      <c r="AT33" s="6">
        <f t="shared" si="51"/>
        <v>2.1127191426719474</v>
      </c>
      <c r="AU33" s="179">
        <f t="shared" si="52"/>
        <v>0.26054830006481844</v>
      </c>
      <c r="AW33" s="6">
        <f t="shared" si="26"/>
        <v>4.168772801037095</v>
      </c>
      <c r="AX33" s="6">
        <f t="shared" si="27"/>
        <v>3.1581612129068906</v>
      </c>
      <c r="AY33" s="6">
        <f t="shared" si="28"/>
        <v>0.1141129166566638</v>
      </c>
      <c r="AZ33" s="6"/>
      <c r="BA33" s="179">
        <f t="shared" si="53"/>
        <v>0.17550669226523874</v>
      </c>
      <c r="BB33" s="179">
        <f t="shared" si="29"/>
        <v>0.8870042890150156</v>
      </c>
      <c r="BC33" s="179">
        <f t="shared" si="30"/>
        <v>0.43093625041312839</v>
      </c>
      <c r="BD33" s="179"/>
      <c r="BE33" s="546">
        <f t="shared" si="31"/>
        <v>1.0780909660459824E-2</v>
      </c>
      <c r="BF33" s="546">
        <f t="shared" si="32"/>
        <v>6.2375263035517534E-2</v>
      </c>
      <c r="BG33" s="546">
        <f t="shared" si="33"/>
        <v>4.3749999999999995E-3</v>
      </c>
      <c r="BH33" s="546">
        <f t="shared" si="34"/>
        <v>2.7860175000000001E-2</v>
      </c>
      <c r="BI33">
        <f t="shared" si="35"/>
        <v>6.96E-3</v>
      </c>
      <c r="BJ33">
        <f t="shared" si="36"/>
        <v>0.11423349946980023</v>
      </c>
      <c r="BK33" s="472">
        <f t="shared" si="54"/>
        <v>114.23349946980022</v>
      </c>
      <c r="BL33" s="179">
        <f t="shared" si="37"/>
        <v>0.10864000000000001</v>
      </c>
      <c r="BM33" s="179">
        <f t="shared" si="38"/>
        <v>5.4320000000000007E-2</v>
      </c>
      <c r="BN33" s="546"/>
      <c r="BP33" s="472">
        <f t="shared" si="55"/>
        <v>162.96</v>
      </c>
      <c r="BQ33" s="546">
        <f t="shared" si="39"/>
        <v>6.1605198059770426E-3</v>
      </c>
      <c r="BR33" s="546">
        <f t="shared" si="56"/>
        <v>3.147106434924133E-2</v>
      </c>
      <c r="BS33" s="546">
        <f t="shared" si="40"/>
        <v>1.8570605192012649E-2</v>
      </c>
      <c r="BT33" s="546">
        <f t="shared" si="41"/>
        <v>3.1362854391796521E-2</v>
      </c>
      <c r="BU33" s="546">
        <f t="shared" si="42"/>
        <v>9.4735252749727106E-2</v>
      </c>
      <c r="BV33" s="655">
        <f t="shared" si="43"/>
        <v>1.2413333333333335E-2</v>
      </c>
      <c r="BW33" s="472">
        <f t="shared" si="57"/>
        <v>107.14858608306044</v>
      </c>
      <c r="BX33" s="179">
        <f t="shared" si="58"/>
        <v>0.38434208555286065</v>
      </c>
      <c r="BY33" s="6">
        <f t="shared" si="59"/>
        <v>1.8620000000000001</v>
      </c>
      <c r="BZ33" s="179">
        <f t="shared" si="60"/>
        <v>0.82890313633674906</v>
      </c>
      <c r="CA33" s="6">
        <f t="shared" si="61"/>
        <v>82.890313633674907</v>
      </c>
      <c r="CB33">
        <f t="shared" si="62"/>
        <v>28.000000000000004</v>
      </c>
      <c r="CD33" s="581">
        <f t="shared" si="44"/>
        <v>-50</v>
      </c>
      <c r="CE33">
        <f t="shared" si="45"/>
        <v>-50</v>
      </c>
    </row>
    <row r="34" spans="5:83" x14ac:dyDescent="0.2">
      <c r="E34" s="176">
        <v>29</v>
      </c>
      <c r="F34" s="223">
        <f t="shared" si="63"/>
        <v>0.28999999999999998</v>
      </c>
      <c r="G34" s="223">
        <f t="shared" si="46"/>
        <v>0.14499999999999999</v>
      </c>
      <c r="H34" s="223">
        <f t="shared" si="0"/>
        <v>1.45</v>
      </c>
      <c r="I34" s="223">
        <f t="shared" si="64"/>
        <v>0.47849999999999993</v>
      </c>
      <c r="J34" s="559">
        <f t="shared" si="1"/>
        <v>24</v>
      </c>
      <c r="K34" s="454">
        <f t="shared" si="2"/>
        <v>15.899999999999999</v>
      </c>
      <c r="L34" s="454">
        <f t="shared" si="3"/>
        <v>39.9</v>
      </c>
      <c r="M34" s="454"/>
      <c r="N34" s="223">
        <f t="shared" si="4"/>
        <v>0.39849624060150374</v>
      </c>
      <c r="O34" s="178">
        <f t="shared" si="47"/>
        <v>4.8538639832664359</v>
      </c>
      <c r="P34" s="178">
        <f t="shared" si="5"/>
        <v>2.1303609022556387</v>
      </c>
      <c r="Q34" s="223">
        <f t="shared" si="6"/>
        <v>0.9707727966532872</v>
      </c>
      <c r="R34" s="223">
        <f t="shared" si="7"/>
        <v>1.4708678737171019</v>
      </c>
      <c r="S34" s="454">
        <f t="shared" si="8"/>
        <v>5</v>
      </c>
      <c r="T34" s="223">
        <f t="shared" si="9"/>
        <v>0.44809661076170504</v>
      </c>
      <c r="U34" s="223">
        <f t="shared" si="10"/>
        <v>0.56012076345213135</v>
      </c>
      <c r="V34" s="223">
        <f t="shared" si="11"/>
        <v>0.84546530332397196</v>
      </c>
      <c r="W34" s="203">
        <f t="shared" si="12"/>
        <v>350</v>
      </c>
      <c r="X34" s="454">
        <f t="shared" si="48"/>
        <v>350</v>
      </c>
      <c r="Z34" s="223">
        <f t="shared" si="13"/>
        <v>0.91084854994629427</v>
      </c>
      <c r="AA34" s="179">
        <f t="shared" si="14"/>
        <v>1.7185821697099894</v>
      </c>
      <c r="AB34" s="179">
        <f t="shared" si="15"/>
        <v>0.82181824055304764</v>
      </c>
      <c r="AC34" s="179"/>
      <c r="AD34" s="179">
        <f t="shared" si="16"/>
        <v>0.5660377358490567</v>
      </c>
      <c r="AE34" s="563">
        <f t="shared" si="17"/>
        <v>1138.5185185185182</v>
      </c>
      <c r="AF34" s="546">
        <f t="shared" si="18"/>
        <v>8.9150943396226423E-2</v>
      </c>
      <c r="AH34" s="179">
        <f t="shared" si="19"/>
        <v>0.60608030271023761</v>
      </c>
      <c r="AI34" s="179">
        <f t="shared" si="20"/>
        <v>0.60608030271023761</v>
      </c>
      <c r="AJ34" s="179">
        <f t="shared" si="21"/>
        <v>1.4267261501557316</v>
      </c>
      <c r="AL34" s="563">
        <f t="shared" si="22"/>
        <v>290</v>
      </c>
      <c r="AM34" s="472">
        <f t="shared" si="23"/>
        <v>350</v>
      </c>
      <c r="AO34">
        <f t="shared" si="49"/>
        <v>290</v>
      </c>
      <c r="AP34" s="472">
        <f t="shared" si="24"/>
        <v>350</v>
      </c>
      <c r="AQ34" s="472"/>
      <c r="AR34" s="6">
        <f t="shared" si="50"/>
        <v>2.8571428571428572</v>
      </c>
      <c r="AS34" s="6">
        <f t="shared" si="25"/>
        <v>0.75760037838779704</v>
      </c>
      <c r="AT34" s="6">
        <f t="shared" si="51"/>
        <v>2.0995424787550601</v>
      </c>
      <c r="AU34" s="179">
        <f t="shared" si="52"/>
        <v>0.26516013243572895</v>
      </c>
      <c r="AW34" s="6">
        <f t="shared" si="26"/>
        <v>4.394082194649223</v>
      </c>
      <c r="AX34" s="6">
        <f t="shared" si="27"/>
        <v>3.328850147461532</v>
      </c>
      <c r="AY34" s="6">
        <f t="shared" si="28"/>
        <v>0.11745125749208474</v>
      </c>
      <c r="AZ34" s="6"/>
      <c r="BA34" s="179">
        <f t="shared" si="53"/>
        <v>0.18018708362396049</v>
      </c>
      <c r="BB34" s="179">
        <f t="shared" si="29"/>
        <v>0.89988528938738988</v>
      </c>
      <c r="BC34" s="179">
        <f t="shared" si="30"/>
        <v>0.43719426976070697</v>
      </c>
      <c r="BD34" s="179"/>
      <c r="BE34" s="546">
        <f t="shared" si="31"/>
        <v>1.1363584786717845E-2</v>
      </c>
      <c r="BF34" s="546">
        <f t="shared" si="32"/>
        <v>6.3479335705113493E-2</v>
      </c>
      <c r="BG34" s="546">
        <f t="shared" si="33"/>
        <v>4.3749999999999995E-3</v>
      </c>
      <c r="BH34" s="546">
        <f t="shared" si="34"/>
        <v>2.7860175000000001E-2</v>
      </c>
      <c r="BI34">
        <f t="shared" si="35"/>
        <v>6.96E-3</v>
      </c>
      <c r="BJ34">
        <f t="shared" si="36"/>
        <v>0.11602904171619408</v>
      </c>
      <c r="BK34" s="472">
        <f t="shared" si="54"/>
        <v>116.02904171619407</v>
      </c>
      <c r="BL34" s="179">
        <f t="shared" si="37"/>
        <v>0.11252</v>
      </c>
      <c r="BM34" s="179">
        <f t="shared" si="38"/>
        <v>5.6259999999999998E-2</v>
      </c>
      <c r="BN34" s="546"/>
      <c r="BP34" s="472">
        <f t="shared" si="55"/>
        <v>168.77999999999997</v>
      </c>
      <c r="BQ34" s="546">
        <f t="shared" si="39"/>
        <v>6.4934770209816271E-3</v>
      </c>
      <c r="BR34" s="546">
        <f t="shared" si="56"/>
        <v>3.2391741362233058E-2</v>
      </c>
      <c r="BS34" s="546">
        <f t="shared" si="40"/>
        <v>1.9113882951159782E-2</v>
      </c>
      <c r="BT34" s="546">
        <f t="shared" si="41"/>
        <v>3.2769177435481647E-2</v>
      </c>
      <c r="BU34" s="546">
        <f t="shared" si="42"/>
        <v>9.8183736408167036E-2</v>
      </c>
      <c r="BV34" s="655">
        <f t="shared" si="43"/>
        <v>1.2856666666666664E-2</v>
      </c>
      <c r="BW34" s="472">
        <f t="shared" si="57"/>
        <v>111.0404030748337</v>
      </c>
      <c r="BX34" s="179">
        <f t="shared" si="58"/>
        <v>0.39584944479102774</v>
      </c>
      <c r="BY34" s="6">
        <f t="shared" si="59"/>
        <v>1.9284999999999999</v>
      </c>
      <c r="BZ34" s="179">
        <f t="shared" si="60"/>
        <v>0.8296945213301965</v>
      </c>
      <c r="CA34" s="6">
        <f t="shared" si="61"/>
        <v>82.969452133019644</v>
      </c>
      <c r="CB34">
        <f t="shared" si="62"/>
        <v>28.999999999999996</v>
      </c>
      <c r="CD34" s="581">
        <f t="shared" si="44"/>
        <v>-50</v>
      </c>
      <c r="CE34">
        <f t="shared" si="45"/>
        <v>-50</v>
      </c>
    </row>
    <row r="35" spans="5:83" x14ac:dyDescent="0.2">
      <c r="E35" s="176">
        <v>30</v>
      </c>
      <c r="F35" s="223">
        <f t="shared" si="63"/>
        <v>0.3</v>
      </c>
      <c r="G35" s="223">
        <f t="shared" si="46"/>
        <v>0.15</v>
      </c>
      <c r="H35" s="223">
        <f t="shared" si="0"/>
        <v>1.5</v>
      </c>
      <c r="I35" s="223">
        <f t="shared" si="64"/>
        <v>0.49499999999999994</v>
      </c>
      <c r="J35" s="559">
        <f t="shared" si="1"/>
        <v>24</v>
      </c>
      <c r="K35" s="454">
        <f t="shared" si="2"/>
        <v>15.899999999999999</v>
      </c>
      <c r="L35" s="454">
        <f t="shared" si="3"/>
        <v>39.9</v>
      </c>
      <c r="M35" s="454"/>
      <c r="N35" s="223">
        <f t="shared" si="4"/>
        <v>0.39849624060150374</v>
      </c>
      <c r="O35" s="178">
        <f t="shared" si="47"/>
        <v>4.8538639832664359</v>
      </c>
      <c r="P35" s="178">
        <f t="shared" si="5"/>
        <v>2.1303609022556387</v>
      </c>
      <c r="Q35" s="223">
        <f t="shared" si="6"/>
        <v>0.9707727966532872</v>
      </c>
      <c r="R35" s="223">
        <f t="shared" si="7"/>
        <v>1.4708678737171019</v>
      </c>
      <c r="S35" s="454">
        <f t="shared" si="8"/>
        <v>5</v>
      </c>
      <c r="T35" s="223">
        <f t="shared" si="9"/>
        <v>0.46354821802935003</v>
      </c>
      <c r="U35" s="223">
        <f t="shared" si="10"/>
        <v>0.57943527253668758</v>
      </c>
      <c r="V35" s="223">
        <f t="shared" si="11"/>
        <v>0.87461927930066063</v>
      </c>
      <c r="W35" s="203">
        <f t="shared" si="12"/>
        <v>350</v>
      </c>
      <c r="X35" s="454">
        <f t="shared" si="48"/>
        <v>350</v>
      </c>
      <c r="Z35" s="223">
        <f t="shared" si="13"/>
        <v>0.91084854994629427</v>
      </c>
      <c r="AA35" s="179">
        <f t="shared" si="14"/>
        <v>1.7185821697099894</v>
      </c>
      <c r="AB35" s="179">
        <f t="shared" si="15"/>
        <v>0.82181824055304764</v>
      </c>
      <c r="AC35" s="179"/>
      <c r="AD35" s="179">
        <f t="shared" si="16"/>
        <v>0.5660377358490567</v>
      </c>
      <c r="AE35" s="563">
        <f t="shared" si="17"/>
        <v>1177.7777777777776</v>
      </c>
      <c r="AF35" s="546">
        <f t="shared" si="18"/>
        <v>8.9150943396226423E-2</v>
      </c>
      <c r="AH35" s="179">
        <f t="shared" si="19"/>
        <v>0.61644140029689765</v>
      </c>
      <c r="AI35" s="179">
        <f t="shared" si="20"/>
        <v>0.61644140029689765</v>
      </c>
      <c r="AJ35" s="179">
        <f t="shared" si="21"/>
        <v>1.4344010372569611</v>
      </c>
      <c r="AL35" s="563">
        <f t="shared" si="22"/>
        <v>300</v>
      </c>
      <c r="AM35" s="472">
        <f t="shared" si="23"/>
        <v>350</v>
      </c>
      <c r="AO35">
        <f t="shared" si="49"/>
        <v>300</v>
      </c>
      <c r="AP35" s="472">
        <f t="shared" si="24"/>
        <v>350</v>
      </c>
      <c r="AQ35" s="472"/>
      <c r="AR35" s="6">
        <f t="shared" si="50"/>
        <v>2.8571428571428572</v>
      </c>
      <c r="AS35" s="6">
        <f t="shared" si="25"/>
        <v>0.770551750371122</v>
      </c>
      <c r="AT35" s="6">
        <f t="shared" si="51"/>
        <v>2.0865911067717353</v>
      </c>
      <c r="AU35" s="179">
        <f t="shared" si="52"/>
        <v>0.26969311262989271</v>
      </c>
      <c r="AW35" s="6">
        <f t="shared" si="26"/>
        <v>4.6233105022267322</v>
      </c>
      <c r="AX35" s="6">
        <f t="shared" si="27"/>
        <v>3.5025079562323724</v>
      </c>
      <c r="AY35" s="6">
        <f t="shared" si="28"/>
        <v>0.12075180016040131</v>
      </c>
      <c r="AZ35" s="6"/>
      <c r="BA35" s="179">
        <f t="shared" si="53"/>
        <v>0.18482729127427694</v>
      </c>
      <c r="BB35" s="179">
        <f t="shared" si="29"/>
        <v>0.91244169764534677</v>
      </c>
      <c r="BC35" s="179">
        <f t="shared" si="30"/>
        <v>0.44329459143936428</v>
      </c>
      <c r="BD35" s="179"/>
      <c r="BE35" s="546">
        <f t="shared" si="31"/>
        <v>1.1956394659925242E-2</v>
      </c>
      <c r="BF35" s="546">
        <f t="shared" si="32"/>
        <v>6.4564531163596298E-2</v>
      </c>
      <c r="BG35" s="546">
        <f t="shared" si="33"/>
        <v>4.3749999999999995E-3</v>
      </c>
      <c r="BH35" s="546">
        <f t="shared" si="34"/>
        <v>2.7860175000000001E-2</v>
      </c>
      <c r="BI35">
        <f t="shared" si="35"/>
        <v>6.96E-3</v>
      </c>
      <c r="BJ35">
        <f t="shared" si="36"/>
        <v>0.11781832254120836</v>
      </c>
      <c r="BK35" s="472">
        <f t="shared" si="54"/>
        <v>117.81832254120836</v>
      </c>
      <c r="BL35" s="179">
        <f t="shared" si="37"/>
        <v>0.11639999999999999</v>
      </c>
      <c r="BM35" s="179">
        <f t="shared" si="38"/>
        <v>5.8199999999999995E-2</v>
      </c>
      <c r="BN35" s="546"/>
      <c r="BP35" s="472">
        <f t="shared" si="55"/>
        <v>174.59999999999997</v>
      </c>
      <c r="BQ35" s="546">
        <f t="shared" si="39"/>
        <v>6.832225519957282E-3</v>
      </c>
      <c r="BR35" s="546">
        <f t="shared" si="56"/>
        <v>3.3301994064076898E-2</v>
      </c>
      <c r="BS35" s="546">
        <f t="shared" si="40"/>
        <v>1.9651009479939294E-2</v>
      </c>
      <c r="BT35" s="546">
        <f t="shared" si="41"/>
        <v>3.4187678481888598E-2</v>
      </c>
      <c r="BU35" s="546">
        <f t="shared" si="42"/>
        <v>0.10163322830029442</v>
      </c>
      <c r="BV35" s="655">
        <f t="shared" si="43"/>
        <v>1.3300000000000001E-2</v>
      </c>
      <c r="BW35" s="472">
        <f t="shared" si="57"/>
        <v>114.93322830029443</v>
      </c>
      <c r="BX35" s="179">
        <f t="shared" si="58"/>
        <v>0.40735155084150271</v>
      </c>
      <c r="BY35" s="6">
        <f t="shared" si="59"/>
        <v>1.9949999999999999</v>
      </c>
      <c r="BZ35" s="179">
        <f t="shared" si="60"/>
        <v>0.8304363278143807</v>
      </c>
      <c r="CA35" s="6">
        <f t="shared" si="61"/>
        <v>83.043632781438077</v>
      </c>
      <c r="CB35">
        <f t="shared" si="62"/>
        <v>30</v>
      </c>
      <c r="CD35" s="581">
        <f t="shared" si="44"/>
        <v>-50</v>
      </c>
      <c r="CE35">
        <f t="shared" si="45"/>
        <v>-50</v>
      </c>
    </row>
    <row r="36" spans="5:83" x14ac:dyDescent="0.2">
      <c r="E36" s="176">
        <v>31</v>
      </c>
      <c r="F36" s="223">
        <f t="shared" si="63"/>
        <v>0.31</v>
      </c>
      <c r="G36" s="223">
        <f t="shared" si="46"/>
        <v>0.155</v>
      </c>
      <c r="H36" s="223">
        <f t="shared" si="0"/>
        <v>1.55</v>
      </c>
      <c r="I36" s="223">
        <f t="shared" si="64"/>
        <v>0.51149999999999995</v>
      </c>
      <c r="J36" s="559">
        <f t="shared" si="1"/>
        <v>24</v>
      </c>
      <c r="K36" s="454">
        <f t="shared" si="2"/>
        <v>15.899999999999999</v>
      </c>
      <c r="L36" s="454">
        <f t="shared" si="3"/>
        <v>39.9</v>
      </c>
      <c r="M36" s="454"/>
      <c r="N36" s="223">
        <f t="shared" si="4"/>
        <v>0.39849624060150374</v>
      </c>
      <c r="O36" s="178">
        <f t="shared" si="47"/>
        <v>4.8538639832664359</v>
      </c>
      <c r="P36" s="178">
        <f t="shared" si="5"/>
        <v>2.1303609022556387</v>
      </c>
      <c r="Q36" s="223">
        <f t="shared" si="6"/>
        <v>0.9707727966532872</v>
      </c>
      <c r="R36" s="223">
        <f t="shared" si="7"/>
        <v>1.4708678737171019</v>
      </c>
      <c r="S36" s="454">
        <f t="shared" si="8"/>
        <v>5</v>
      </c>
      <c r="T36" s="223">
        <f t="shared" si="9"/>
        <v>0.47899982529699514</v>
      </c>
      <c r="U36" s="223">
        <f t="shared" si="10"/>
        <v>0.59874978162124393</v>
      </c>
      <c r="V36" s="223">
        <f t="shared" si="11"/>
        <v>0.90377325527734953</v>
      </c>
      <c r="W36" s="203">
        <f t="shared" si="12"/>
        <v>350</v>
      </c>
      <c r="X36" s="454">
        <f t="shared" si="48"/>
        <v>350</v>
      </c>
      <c r="Z36" s="223">
        <f t="shared" si="13"/>
        <v>0.91084854994629427</v>
      </c>
      <c r="AA36" s="179">
        <f t="shared" si="14"/>
        <v>1.7185821697099894</v>
      </c>
      <c r="AB36" s="179">
        <f t="shared" si="15"/>
        <v>0.82181824055304764</v>
      </c>
      <c r="AC36" s="179"/>
      <c r="AD36" s="179">
        <f t="shared" si="16"/>
        <v>0.5660377358490567</v>
      </c>
      <c r="AE36" s="563">
        <f t="shared" si="17"/>
        <v>1217.037037037037</v>
      </c>
      <c r="AF36" s="546">
        <f t="shared" si="18"/>
        <v>8.9150943396226423E-2</v>
      </c>
      <c r="AH36" s="179">
        <f t="shared" si="19"/>
        <v>0.62663120467039202</v>
      </c>
      <c r="AI36" s="179">
        <f t="shared" si="20"/>
        <v>0.62663120467039202</v>
      </c>
      <c r="AJ36" s="179">
        <f t="shared" si="21"/>
        <v>1.4419490404965867</v>
      </c>
      <c r="AL36" s="563">
        <f t="shared" si="22"/>
        <v>310</v>
      </c>
      <c r="AM36" s="472">
        <f t="shared" si="23"/>
        <v>350</v>
      </c>
      <c r="AO36">
        <f t="shared" si="49"/>
        <v>310</v>
      </c>
      <c r="AP36" s="472">
        <f t="shared" si="24"/>
        <v>350</v>
      </c>
      <c r="AQ36" s="472"/>
      <c r="AR36" s="6">
        <f t="shared" si="50"/>
        <v>2.8571428571428572</v>
      </c>
      <c r="AS36" s="6">
        <f t="shared" si="25"/>
        <v>0.78328900583798999</v>
      </c>
      <c r="AT36" s="6">
        <f t="shared" si="51"/>
        <v>2.0738538513048672</v>
      </c>
      <c r="AU36" s="179">
        <f t="shared" si="52"/>
        <v>0.27415115204329649</v>
      </c>
      <c r="AW36" s="6">
        <f t="shared" si="26"/>
        <v>4.856391836195538</v>
      </c>
      <c r="AX36" s="6">
        <f t="shared" si="27"/>
        <v>3.6790847243905587</v>
      </c>
      <c r="AY36" s="6">
        <f t="shared" si="28"/>
        <v>0.1240151801513327</v>
      </c>
      <c r="AZ36" s="6"/>
      <c r="BA36" s="179">
        <f t="shared" si="53"/>
        <v>0.18942898320625576</v>
      </c>
      <c r="BB36" s="179">
        <f t="shared" si="29"/>
        <v>0.92468910607457522</v>
      </c>
      <c r="BC36" s="179">
        <f t="shared" si="30"/>
        <v>0.44924479070123108</v>
      </c>
      <c r="BD36" s="179"/>
      <c r="BE36" s="546">
        <f t="shared" si="31"/>
        <v>1.2559168887494573E-2</v>
      </c>
      <c r="BF36" s="546">
        <f t="shared" si="32"/>
        <v>6.5631785799165177E-2</v>
      </c>
      <c r="BG36" s="546">
        <f t="shared" si="33"/>
        <v>4.3749999999999995E-3</v>
      </c>
      <c r="BH36" s="546">
        <f t="shared" si="34"/>
        <v>2.7860175000000001E-2</v>
      </c>
      <c r="BI36">
        <f t="shared" si="35"/>
        <v>6.96E-3</v>
      </c>
      <c r="BJ36">
        <f t="shared" si="36"/>
        <v>0.11960209614993043</v>
      </c>
      <c r="BK36" s="472">
        <f t="shared" si="54"/>
        <v>119.60209614993043</v>
      </c>
      <c r="BL36" s="179">
        <f t="shared" si="37"/>
        <v>0.12028</v>
      </c>
      <c r="BM36" s="179">
        <f t="shared" si="38"/>
        <v>6.0139999999999999E-2</v>
      </c>
      <c r="BN36" s="546"/>
      <c r="BP36" s="472">
        <f t="shared" si="55"/>
        <v>180.42</v>
      </c>
      <c r="BQ36" s="546">
        <f t="shared" si="39"/>
        <v>7.1766679357111859E-3</v>
      </c>
      <c r="BR36" s="546">
        <f t="shared" si="56"/>
        <v>3.4201997715719884E-2</v>
      </c>
      <c r="BS36" s="546">
        <f t="shared" si="40"/>
        <v>2.0182088197219294E-2</v>
      </c>
      <c r="BT36" s="546">
        <f t="shared" si="41"/>
        <v>3.5618051693164378E-2</v>
      </c>
      <c r="BU36" s="546">
        <f t="shared" si="42"/>
        <v>0.10508361814365819</v>
      </c>
      <c r="BV36" s="655">
        <f t="shared" si="43"/>
        <v>1.3743333333333337E-2</v>
      </c>
      <c r="BW36" s="472">
        <f t="shared" si="57"/>
        <v>118.82695147699151</v>
      </c>
      <c r="BX36" s="179">
        <f t="shared" si="58"/>
        <v>0.41884904762692199</v>
      </c>
      <c r="BY36" s="6">
        <f t="shared" si="59"/>
        <v>2.0615000000000001</v>
      </c>
      <c r="BZ36" s="179">
        <f t="shared" si="60"/>
        <v>0.83113302217377161</v>
      </c>
      <c r="CA36" s="6">
        <f t="shared" si="61"/>
        <v>83.113302217377168</v>
      </c>
      <c r="CB36">
        <f t="shared" si="62"/>
        <v>31</v>
      </c>
      <c r="CD36" s="581">
        <f t="shared" si="44"/>
        <v>-50</v>
      </c>
      <c r="CE36">
        <f t="shared" si="45"/>
        <v>-50</v>
      </c>
    </row>
    <row r="37" spans="5:83" x14ac:dyDescent="0.2">
      <c r="E37" s="176">
        <v>32</v>
      </c>
      <c r="F37" s="223">
        <f t="shared" si="63"/>
        <v>0.32</v>
      </c>
      <c r="G37" s="223">
        <f t="shared" si="46"/>
        <v>0.16</v>
      </c>
      <c r="H37" s="223">
        <f t="shared" ref="H37:H68" si="65">F37*Vout</f>
        <v>1.6</v>
      </c>
      <c r="I37" s="223">
        <f t="shared" si="64"/>
        <v>0.52800000000000002</v>
      </c>
      <c r="J37" s="559">
        <f t="shared" si="1"/>
        <v>24</v>
      </c>
      <c r="K37" s="454">
        <f t="shared" si="2"/>
        <v>15.899999999999999</v>
      </c>
      <c r="L37" s="454">
        <f t="shared" si="3"/>
        <v>39.9</v>
      </c>
      <c r="M37" s="454"/>
      <c r="N37" s="223">
        <f t="shared" si="4"/>
        <v>0.39849624060150374</v>
      </c>
      <c r="O37" s="178">
        <f t="shared" si="47"/>
        <v>4.8538639832664359</v>
      </c>
      <c r="P37" s="178">
        <f t="shared" ref="P37:P68" si="66">N37*J37*Isw_max*0.5*Efficiency*(Pout2/Pout_total)</f>
        <v>2.1303609022556387</v>
      </c>
      <c r="Q37" s="223">
        <f t="shared" si="6"/>
        <v>0.9707727966532872</v>
      </c>
      <c r="R37" s="223">
        <f t="shared" ref="R37:R68" si="67">O37/Vout2</f>
        <v>1.4708678737171019</v>
      </c>
      <c r="S37" s="454">
        <f t="shared" ref="S37:S68" si="68">MIN(Vout,O37/F37)</f>
        <v>5</v>
      </c>
      <c r="T37" s="223">
        <f t="shared" ref="T37:T68" si="69">MIN(2*(Vout*F37+Vout2*G37)/(Efficiency*J37*N37), Isw_max)</f>
        <v>0.49445143256464014</v>
      </c>
      <c r="U37" s="223">
        <f t="shared" si="10"/>
        <v>0.61806429070580016</v>
      </c>
      <c r="V37" s="223">
        <f t="shared" si="11"/>
        <v>0.93292723125403809</v>
      </c>
      <c r="W37" s="203">
        <f t="shared" si="12"/>
        <v>350</v>
      </c>
      <c r="X37" s="454">
        <f t="shared" si="48"/>
        <v>350</v>
      </c>
      <c r="Z37" s="223">
        <f t="shared" si="13"/>
        <v>0.91084854994629427</v>
      </c>
      <c r="AA37" s="179">
        <f t="shared" si="14"/>
        <v>1.7185821697099894</v>
      </c>
      <c r="AB37" s="179">
        <f t="shared" ref="AB37:AB68" si="70">0.5*AA37*Z37*Nps*W37/1000*(Pout/Pout_total)</f>
        <v>0.82181824055304764</v>
      </c>
      <c r="AC37" s="179"/>
      <c r="AD37" s="179">
        <f t="shared" si="16"/>
        <v>0.5660377358490567</v>
      </c>
      <c r="AE37" s="563">
        <f t="shared" ref="AE37:AE68" si="71">MAX(10, F37/(0.5*AD37/1000000*Isw_min*Nps)/1000*Pout_total/Pout)</f>
        <v>1256.2962962962961</v>
      </c>
      <c r="AF37" s="546">
        <f t="shared" ref="AF37:AF68" si="72">0.5*AD37/1000000*Isw_min*Nps*W37*1000*(Pout/Pout_total)</f>
        <v>8.9150943396226423E-2</v>
      </c>
      <c r="AH37" s="179">
        <f t="shared" ref="AH37:AH68" si="73">SQRT((H37+I37)/(0.5*L*Fsw_DCM))</f>
        <v>0.63665794060337721</v>
      </c>
      <c r="AI37" s="179">
        <f t="shared" ref="AI37:AI68" si="74">MAX(IF(F37&gt;AB37,T37,AH37),Isw_min)</f>
        <v>0.63665794060337721</v>
      </c>
      <c r="AJ37" s="179">
        <f t="shared" ref="AJ37:AJ68" si="75">IF(F37&gt;AF37, (AI37-Isw_min)/1.08*0.8+1.2, AE37*0.2/350+1)</f>
        <v>1.4493762522987979</v>
      </c>
      <c r="AL37" s="563">
        <f t="shared" ref="AL37:AL68" si="76">F37*1000</f>
        <v>320</v>
      </c>
      <c r="AM37" s="472">
        <f t="shared" ref="AM37:AM68" si="77">IF(F37&gt;AF37, X37, AE37)</f>
        <v>350</v>
      </c>
      <c r="AO37">
        <f t="shared" si="49"/>
        <v>320</v>
      </c>
      <c r="AP37" s="472">
        <f t="shared" si="24"/>
        <v>350</v>
      </c>
      <c r="AQ37" s="472"/>
      <c r="AR37" s="6">
        <f t="shared" si="50"/>
        <v>2.8571428571428572</v>
      </c>
      <c r="AS37" s="6">
        <f t="shared" si="25"/>
        <v>0.79582242575422157</v>
      </c>
      <c r="AT37" s="6">
        <f t="shared" si="51"/>
        <v>2.0613204313886357</v>
      </c>
      <c r="AU37" s="179">
        <f t="shared" si="52"/>
        <v>0.27853784901397755</v>
      </c>
      <c r="AW37" s="6">
        <f t="shared" ref="AW37:AW68" si="78">F37*AS37/Vout_ripple*1000</f>
        <v>5.0932635248270186</v>
      </c>
      <c r="AX37" s="6">
        <f t="shared" ref="AX37:AX68" si="79">G37*AS37/Vout_ripple2*1000</f>
        <v>3.8585329733538023</v>
      </c>
      <c r="AY37" s="6">
        <f t="shared" si="28"/>
        <v>0.1272420019375701</v>
      </c>
      <c r="AZ37" s="6"/>
      <c r="BA37" s="179">
        <f t="shared" si="53"/>
        <v>0.19399370677106365</v>
      </c>
      <c r="BB37" s="179">
        <f t="shared" ref="BB37:BB68" si="80">AI37*Npri_sec1*SQRT((1-AU37)/3)*(Pout/Pout_total)</f>
        <v>0.93664186090469137</v>
      </c>
      <c r="BC37" s="179">
        <f t="shared" ref="BC37:BC68" si="81">AI37*Npri_sec2*SQRT((1-AU37)/3)*(Pout2/Pout_total)</f>
        <v>0.45505183742286259</v>
      </c>
      <c r="BD37" s="179"/>
      <c r="BE37" s="546">
        <f t="shared" si="31"/>
        <v>1.3171745393372097E-2</v>
      </c>
      <c r="BF37" s="546">
        <f t="shared" si="32"/>
        <v>6.6681961053946207E-2</v>
      </c>
      <c r="BG37" s="546">
        <f t="shared" si="33"/>
        <v>4.3749999999999995E-3</v>
      </c>
      <c r="BH37" s="546">
        <f t="shared" si="34"/>
        <v>2.7860175000000001E-2</v>
      </c>
      <c r="BI37">
        <f t="shared" si="35"/>
        <v>6.96E-3</v>
      </c>
      <c r="BJ37">
        <f t="shared" ref="BJ37:BJ68" si="82">(BF37+BG37+BH37+BI37+BE37*(1+RdsonTC*(Ta-25)))/(1-BE37*RdsonTC*ThetaJA)</f>
        <v>0.12138105138088735</v>
      </c>
      <c r="BK37" s="472">
        <f t="shared" si="54"/>
        <v>121.38105138088736</v>
      </c>
      <c r="BL37" s="179">
        <f t="shared" ref="BL37:BL68" si="83">Vfwd2*F37*(1+Diode_TC/1000*(Ta-25))</f>
        <v>0.12415999999999999</v>
      </c>
      <c r="BM37" s="179">
        <f t="shared" ref="BM37:BM68" si="84">Vfwd2*G37*(1+Diode_TC/1000*(Ta-25))</f>
        <v>6.2079999999999996E-2</v>
      </c>
      <c r="BN37" s="546"/>
      <c r="BP37" s="472">
        <f t="shared" si="55"/>
        <v>186.23999999999998</v>
      </c>
      <c r="BQ37" s="546">
        <f t="shared" si="39"/>
        <v>7.5267116533554853E-3</v>
      </c>
      <c r="BR37" s="546">
        <f t="shared" si="56"/>
        <v>3.5091919023960132E-2</v>
      </c>
      <c r="BS37" s="546">
        <f t="shared" ref="BS37:BS68" si="85">Rdcr_sec2*BC37^2</f>
        <v>2.0707217474192338E-2</v>
      </c>
      <c r="BT37" s="546">
        <f t="shared" si="41"/>
        <v>3.7060008576060677E-2</v>
      </c>
      <c r="BU37" s="546">
        <f t="shared" ref="BU37:BU68" si="86">(BT37+(BQ37+BR37+BS37)*(1+Ltc*(Ta-25)))/(1-(BQ37+BR37+BS37)*Ltc*ThetaCa)</f>
        <v>0.10853480318299119</v>
      </c>
      <c r="BV37" s="655">
        <f t="shared" ref="BV37:BV68" si="87">0.5*Lleak*0.000000001*AI37^2*AM37*1000</f>
        <v>1.4186666666666669E-2</v>
      </c>
      <c r="BW37" s="472">
        <f t="shared" si="57"/>
        <v>122.72146984965785</v>
      </c>
      <c r="BX37" s="179">
        <f t="shared" si="58"/>
        <v>0.43034252123054523</v>
      </c>
      <c r="BY37" s="6">
        <f t="shared" si="59"/>
        <v>2.1280000000000001</v>
      </c>
      <c r="BZ37" s="179">
        <f t="shared" si="60"/>
        <v>0.83178854369212707</v>
      </c>
      <c r="CA37" s="6">
        <f t="shared" si="61"/>
        <v>83.178854369212701</v>
      </c>
      <c r="CB37">
        <f t="shared" si="62"/>
        <v>32</v>
      </c>
      <c r="CD37" s="581">
        <f t="shared" ref="CD37:CD68" si="88">IF(ABS(F37-Ioutmax_Vinnom)&lt;Iout/200, AM37, -50)</f>
        <v>-50</v>
      </c>
      <c r="CE37">
        <f t="shared" ref="CE37:CE68" si="89">IF(ABS(F37-Ioutmax_Vinnom)&lt;Iout/200, (O37+P37)*BZ37, -50)</f>
        <v>-50</v>
      </c>
    </row>
    <row r="38" spans="5:83" x14ac:dyDescent="0.2">
      <c r="E38" s="176">
        <v>33</v>
      </c>
      <c r="F38" s="223">
        <f t="shared" si="63"/>
        <v>0.33</v>
      </c>
      <c r="G38" s="223">
        <f t="shared" ref="G38:G69" si="90">IF(PLOT_TYPE=1, E38/100*Iout2, min_I*EXP(Q38*rr/100))</f>
        <v>0.16500000000000001</v>
      </c>
      <c r="H38" s="223">
        <f t="shared" si="65"/>
        <v>1.6500000000000001</v>
      </c>
      <c r="I38" s="223">
        <f t="shared" si="64"/>
        <v>0.54449999999999998</v>
      </c>
      <c r="J38" s="559">
        <f t="shared" si="1"/>
        <v>24</v>
      </c>
      <c r="K38" s="454">
        <f t="shared" si="2"/>
        <v>15.899999999999999</v>
      </c>
      <c r="L38" s="454">
        <f t="shared" si="3"/>
        <v>39.9</v>
      </c>
      <c r="M38" s="454"/>
      <c r="N38" s="223">
        <f t="shared" si="4"/>
        <v>0.39849624060150374</v>
      </c>
      <c r="O38" s="178">
        <f t="shared" ref="O38:O69" si="91">N38*J38*Isw_max*0.5*Efficiency*Pout/(Pout+Pout2)</f>
        <v>4.8538639832664359</v>
      </c>
      <c r="P38" s="178">
        <f t="shared" si="66"/>
        <v>2.1303609022556387</v>
      </c>
      <c r="Q38" s="223">
        <f t="shared" si="6"/>
        <v>0.9707727966532872</v>
      </c>
      <c r="R38" s="223">
        <f t="shared" si="67"/>
        <v>1.4708678737171019</v>
      </c>
      <c r="S38" s="454">
        <f t="shared" si="68"/>
        <v>5</v>
      </c>
      <c r="T38" s="223">
        <f t="shared" si="69"/>
        <v>0.50990303983228513</v>
      </c>
      <c r="U38" s="223">
        <f t="shared" si="10"/>
        <v>0.6373787997903565</v>
      </c>
      <c r="V38" s="223">
        <f t="shared" si="11"/>
        <v>0.96208120723072688</v>
      </c>
      <c r="W38" s="203">
        <f t="shared" si="12"/>
        <v>350</v>
      </c>
      <c r="X38" s="454">
        <f t="shared" si="48"/>
        <v>350</v>
      </c>
      <c r="Z38" s="223">
        <f t="shared" si="13"/>
        <v>0.91084854994629427</v>
      </c>
      <c r="AA38" s="179">
        <f t="shared" si="14"/>
        <v>1.7185821697099894</v>
      </c>
      <c r="AB38" s="179">
        <f t="shared" si="70"/>
        <v>0.82181824055304764</v>
      </c>
      <c r="AC38" s="179"/>
      <c r="AD38" s="179">
        <f t="shared" si="16"/>
        <v>0.5660377358490567</v>
      </c>
      <c r="AE38" s="563">
        <f t="shared" si="71"/>
        <v>1295.5555555555552</v>
      </c>
      <c r="AF38" s="546">
        <f t="shared" si="72"/>
        <v>8.9150943396226423E-2</v>
      </c>
      <c r="AH38" s="179">
        <f t="shared" si="73"/>
        <v>0.64652919500978456</v>
      </c>
      <c r="AI38" s="179">
        <f t="shared" si="74"/>
        <v>0.64652919500978456</v>
      </c>
      <c r="AJ38" s="179">
        <f t="shared" si="75"/>
        <v>1.4566882925998403</v>
      </c>
      <c r="AL38" s="563">
        <f t="shared" si="76"/>
        <v>330</v>
      </c>
      <c r="AM38" s="472">
        <f t="shared" si="77"/>
        <v>350</v>
      </c>
      <c r="AO38">
        <f t="shared" si="49"/>
        <v>330</v>
      </c>
      <c r="AP38" s="472">
        <f t="shared" si="24"/>
        <v>350</v>
      </c>
      <c r="AQ38" s="472"/>
      <c r="AR38" s="6">
        <f t="shared" si="50"/>
        <v>2.8571428571428572</v>
      </c>
      <c r="AS38" s="6">
        <f t="shared" si="25"/>
        <v>0.80816149376223068</v>
      </c>
      <c r="AT38" s="6">
        <f t="shared" si="51"/>
        <v>2.0489813633806264</v>
      </c>
      <c r="AU38" s="179">
        <f t="shared" si="52"/>
        <v>0.28285652281678075</v>
      </c>
      <c r="AW38" s="6">
        <f t="shared" si="78"/>
        <v>5.3338658588307224</v>
      </c>
      <c r="AX38" s="6">
        <f t="shared" si="79"/>
        <v>4.0408074688111535</v>
      </c>
      <c r="AY38" s="6">
        <f t="shared" si="28"/>
        <v>0.1304328414189056</v>
      </c>
      <c r="AZ38" s="6"/>
      <c r="BA38" s="179">
        <f t="shared" si="53"/>
        <v>0.19852290089341862</v>
      </c>
      <c r="BB38" s="179">
        <f t="shared" si="80"/>
        <v>0.9483131974130472</v>
      </c>
      <c r="BC38" s="179">
        <f t="shared" si="81"/>
        <v>0.46072216174317204</v>
      </c>
      <c r="BD38" s="179"/>
      <c r="BE38" s="546">
        <f t="shared" si="31"/>
        <v>1.3793969762698336E-2</v>
      </c>
      <c r="BF38" s="546">
        <f t="shared" si="32"/>
        <v>6.7715851562337295E-2</v>
      </c>
      <c r="BG38" s="546">
        <f t="shared" si="33"/>
        <v>4.3749999999999995E-3</v>
      </c>
      <c r="BH38" s="546">
        <f t="shared" si="34"/>
        <v>2.7860175000000001E-2</v>
      </c>
      <c r="BI38">
        <f t="shared" si="35"/>
        <v>6.96E-3</v>
      </c>
      <c r="BJ38">
        <f t="shared" si="82"/>
        <v>0.1231558190918724</v>
      </c>
      <c r="BK38" s="472">
        <f t="shared" si="54"/>
        <v>123.1558190918724</v>
      </c>
      <c r="BL38" s="179">
        <f t="shared" si="83"/>
        <v>0.12804000000000001</v>
      </c>
      <c r="BM38" s="179">
        <f t="shared" si="84"/>
        <v>6.4020000000000007E-2</v>
      </c>
      <c r="BN38" s="546"/>
      <c r="BP38" s="472">
        <f t="shared" si="55"/>
        <v>192.06</v>
      </c>
      <c r="BQ38" s="546">
        <f t="shared" si="39"/>
        <v>7.8822684358276218E-3</v>
      </c>
      <c r="BR38" s="546">
        <f t="shared" si="56"/>
        <v>3.5971916815510284E-2</v>
      </c>
      <c r="BS38" s="546">
        <f t="shared" si="85"/>
        <v>2.122649103213016E-2</v>
      </c>
      <c r="BT38" s="546">
        <f t="shared" si="41"/>
        <v>3.8513276484451818E-2</v>
      </c>
      <c r="BU38" s="546">
        <f t="shared" si="86"/>
        <v>0.11198668747036138</v>
      </c>
      <c r="BV38" s="655">
        <f t="shared" si="87"/>
        <v>1.4630000000000004E-2</v>
      </c>
      <c r="BW38" s="472">
        <f t="shared" si="57"/>
        <v>126.61668747036137</v>
      </c>
      <c r="BX38" s="179">
        <f t="shared" si="58"/>
        <v>0.44183250656223383</v>
      </c>
      <c r="BY38" s="6">
        <f t="shared" si="59"/>
        <v>2.1945000000000001</v>
      </c>
      <c r="BZ38" s="179">
        <f t="shared" si="60"/>
        <v>0.8324063806585682</v>
      </c>
      <c r="CA38" s="6">
        <f t="shared" si="61"/>
        <v>83.240638065856814</v>
      </c>
      <c r="CB38">
        <f t="shared" ref="CB38:CB69" si="92">F38/Iout*100</f>
        <v>33</v>
      </c>
      <c r="CD38" s="581">
        <f t="shared" si="88"/>
        <v>-50</v>
      </c>
      <c r="CE38">
        <f t="shared" si="89"/>
        <v>-50</v>
      </c>
    </row>
    <row r="39" spans="5:83" x14ac:dyDescent="0.2">
      <c r="E39" s="176">
        <v>34</v>
      </c>
      <c r="F39" s="223">
        <f t="shared" si="63"/>
        <v>0.34</v>
      </c>
      <c r="G39" s="223">
        <f t="shared" si="90"/>
        <v>0.17</v>
      </c>
      <c r="H39" s="223">
        <f t="shared" si="65"/>
        <v>1.7000000000000002</v>
      </c>
      <c r="I39" s="223">
        <f t="shared" si="64"/>
        <v>0.56100000000000005</v>
      </c>
      <c r="J39" s="559">
        <f t="shared" si="1"/>
        <v>24</v>
      </c>
      <c r="K39" s="454">
        <f t="shared" si="2"/>
        <v>15.899999999999999</v>
      </c>
      <c r="L39" s="454">
        <f t="shared" si="3"/>
        <v>39.9</v>
      </c>
      <c r="M39" s="454"/>
      <c r="N39" s="223">
        <f t="shared" si="4"/>
        <v>0.39849624060150374</v>
      </c>
      <c r="O39" s="178">
        <f t="shared" si="91"/>
        <v>4.8538639832664359</v>
      </c>
      <c r="P39" s="178">
        <f t="shared" si="66"/>
        <v>2.1303609022556387</v>
      </c>
      <c r="Q39" s="223">
        <f t="shared" si="6"/>
        <v>0.9707727966532872</v>
      </c>
      <c r="R39" s="223">
        <f t="shared" si="67"/>
        <v>1.4708678737171019</v>
      </c>
      <c r="S39" s="454">
        <f t="shared" si="68"/>
        <v>5</v>
      </c>
      <c r="T39" s="223">
        <f t="shared" si="69"/>
        <v>0.52535464709993007</v>
      </c>
      <c r="U39" s="223">
        <f t="shared" si="10"/>
        <v>0.65669330887491262</v>
      </c>
      <c r="V39" s="223">
        <f t="shared" si="11"/>
        <v>0.99123518320741522</v>
      </c>
      <c r="W39" s="203">
        <f t="shared" si="12"/>
        <v>350</v>
      </c>
      <c r="X39" s="454">
        <f t="shared" si="48"/>
        <v>350</v>
      </c>
      <c r="Z39" s="223">
        <f t="shared" si="13"/>
        <v>0.91084854994629427</v>
      </c>
      <c r="AA39" s="179">
        <f t="shared" si="14"/>
        <v>1.7185821697099894</v>
      </c>
      <c r="AB39" s="179">
        <f t="shared" si="70"/>
        <v>0.82181824055304764</v>
      </c>
      <c r="AC39" s="179"/>
      <c r="AD39" s="179">
        <f t="shared" si="16"/>
        <v>0.5660377358490567</v>
      </c>
      <c r="AE39" s="563">
        <f t="shared" si="71"/>
        <v>1334.8148148148146</v>
      </c>
      <c r="AF39" s="546">
        <f t="shared" si="72"/>
        <v>8.9150943396226423E-2</v>
      </c>
      <c r="AH39" s="179">
        <f t="shared" si="73"/>
        <v>0.65625198412398478</v>
      </c>
      <c r="AI39" s="179">
        <f t="shared" si="74"/>
        <v>0.65625198412398478</v>
      </c>
      <c r="AJ39" s="179">
        <f t="shared" si="75"/>
        <v>1.4638903586103591</v>
      </c>
      <c r="AL39" s="563">
        <f t="shared" si="76"/>
        <v>340</v>
      </c>
      <c r="AM39" s="472">
        <f t="shared" si="77"/>
        <v>350</v>
      </c>
      <c r="AO39">
        <f t="shared" si="49"/>
        <v>340</v>
      </c>
      <c r="AP39" s="472">
        <f t="shared" si="24"/>
        <v>350</v>
      </c>
      <c r="AQ39" s="472"/>
      <c r="AR39" s="6">
        <f t="shared" si="50"/>
        <v>2.8571428571428572</v>
      </c>
      <c r="AS39" s="6">
        <f t="shared" si="25"/>
        <v>0.82031498015498105</v>
      </c>
      <c r="AT39" s="6">
        <f t="shared" si="51"/>
        <v>2.0368278769878763</v>
      </c>
      <c r="AU39" s="179">
        <f t="shared" si="52"/>
        <v>0.28711024305424337</v>
      </c>
      <c r="AW39" s="6">
        <f t="shared" si="78"/>
        <v>5.5781418650538717</v>
      </c>
      <c r="AX39" s="6">
        <f t="shared" si="79"/>
        <v>4.2258650492832359</v>
      </c>
      <c r="AY39" s="6">
        <f t="shared" si="28"/>
        <v>0.13358824810491471</v>
      </c>
      <c r="AZ39" s="6"/>
      <c r="BA39" s="179">
        <f t="shared" si="53"/>
        <v>0.20301790671599021</v>
      </c>
      <c r="BB39" s="179">
        <f t="shared" si="80"/>
        <v>0.95971535674590402</v>
      </c>
      <c r="BC39" s="179">
        <f t="shared" si="81"/>
        <v>0.46626171081905166</v>
      </c>
      <c r="BD39" s="179"/>
      <c r="BE39" s="546">
        <f t="shared" si="31"/>
        <v>1.4425694656569874E-2</v>
      </c>
      <c r="BF39" s="546">
        <f t="shared" si="32"/>
        <v>6.873419218718585E-2</v>
      </c>
      <c r="BG39" s="546">
        <f t="shared" si="33"/>
        <v>4.3749999999999995E-3</v>
      </c>
      <c r="BH39" s="546">
        <f t="shared" si="34"/>
        <v>2.7860175000000001E-2</v>
      </c>
      <c r="BI39">
        <f t="shared" si="35"/>
        <v>6.96E-3</v>
      </c>
      <c r="BJ39">
        <f t="shared" si="82"/>
        <v>0.12492697852412463</v>
      </c>
      <c r="BK39" s="472">
        <f t="shared" si="54"/>
        <v>124.92697852412462</v>
      </c>
      <c r="BL39" s="179">
        <f t="shared" si="83"/>
        <v>0.13192000000000001</v>
      </c>
      <c r="BM39" s="179">
        <f t="shared" si="84"/>
        <v>6.5960000000000005E-2</v>
      </c>
      <c r="BN39" s="546"/>
      <c r="BP39" s="472">
        <f t="shared" si="55"/>
        <v>197.88</v>
      </c>
      <c r="BQ39" s="546">
        <f t="shared" si="39"/>
        <v>8.2432540894685005E-3</v>
      </c>
      <c r="BR39" s="546">
        <f t="shared" si="56"/>
        <v>3.6842142638956715E-2</v>
      </c>
      <c r="BS39" s="546">
        <f t="shared" si="85"/>
        <v>2.1739998297590896E-2</v>
      </c>
      <c r="BT39" s="546">
        <f t="shared" si="41"/>
        <v>3.9977597292817822E-2</v>
      </c>
      <c r="BU39" s="546">
        <f t="shared" si="86"/>
        <v>0.11543918123294558</v>
      </c>
      <c r="BV39" s="655">
        <f t="shared" si="87"/>
        <v>1.5073333333333338E-2</v>
      </c>
      <c r="BW39" s="472">
        <f t="shared" si="57"/>
        <v>130.5125145662789</v>
      </c>
      <c r="BX39" s="179">
        <f t="shared" si="58"/>
        <v>0.45331949309040359</v>
      </c>
      <c r="BY39" s="6">
        <f t="shared" si="59"/>
        <v>2.2610000000000001</v>
      </c>
      <c r="BZ39" s="179">
        <f t="shared" si="60"/>
        <v>0.83298963359163214</v>
      </c>
      <c r="CA39" s="6">
        <f t="shared" si="61"/>
        <v>83.29896335916321</v>
      </c>
      <c r="CB39">
        <f t="shared" si="92"/>
        <v>34</v>
      </c>
      <c r="CD39" s="581">
        <f t="shared" si="88"/>
        <v>-50</v>
      </c>
      <c r="CE39">
        <f t="shared" si="89"/>
        <v>-50</v>
      </c>
    </row>
    <row r="40" spans="5:83" x14ac:dyDescent="0.2">
      <c r="E40" s="176">
        <v>35</v>
      </c>
      <c r="F40" s="223">
        <f t="shared" ref="F40:F71" si="93">IF(PLOT_TYPE=1, E40/100*Iout_max, min_I*EXP(O40*rr/100))</f>
        <v>0.35</v>
      </c>
      <c r="G40" s="223">
        <f t="shared" si="90"/>
        <v>0.17499999999999999</v>
      </c>
      <c r="H40" s="223">
        <f t="shared" si="65"/>
        <v>1.75</v>
      </c>
      <c r="I40" s="223">
        <f t="shared" ref="I40:I71" si="94">Vout2*G40</f>
        <v>0.5774999999999999</v>
      </c>
      <c r="J40" s="559">
        <f t="shared" si="1"/>
        <v>24</v>
      </c>
      <c r="K40" s="454">
        <f t="shared" si="2"/>
        <v>15.899999999999999</v>
      </c>
      <c r="L40" s="454">
        <f t="shared" si="3"/>
        <v>39.9</v>
      </c>
      <c r="M40" s="454"/>
      <c r="N40" s="223">
        <f t="shared" si="4"/>
        <v>0.39849624060150374</v>
      </c>
      <c r="O40" s="178">
        <f t="shared" si="91"/>
        <v>4.8538639832664359</v>
      </c>
      <c r="P40" s="178">
        <f t="shared" si="66"/>
        <v>2.1303609022556387</v>
      </c>
      <c r="Q40" s="223">
        <f t="shared" si="6"/>
        <v>0.9707727966532872</v>
      </c>
      <c r="R40" s="223">
        <f t="shared" si="67"/>
        <v>1.4708678737171019</v>
      </c>
      <c r="S40" s="454">
        <f t="shared" si="68"/>
        <v>5</v>
      </c>
      <c r="T40" s="223">
        <f t="shared" si="69"/>
        <v>0.54080625436757501</v>
      </c>
      <c r="U40" s="223">
        <f t="shared" si="10"/>
        <v>0.67600781795946874</v>
      </c>
      <c r="V40" s="223">
        <f t="shared" si="11"/>
        <v>1.0203891591841039</v>
      </c>
      <c r="W40" s="203">
        <f t="shared" si="12"/>
        <v>350</v>
      </c>
      <c r="X40" s="454">
        <f t="shared" si="48"/>
        <v>350</v>
      </c>
      <c r="Z40" s="223">
        <f t="shared" si="13"/>
        <v>0.91084854994629427</v>
      </c>
      <c r="AA40" s="179">
        <f t="shared" si="14"/>
        <v>1.7185821697099894</v>
      </c>
      <c r="AB40" s="179">
        <f t="shared" si="70"/>
        <v>0.82181824055304764</v>
      </c>
      <c r="AC40" s="179"/>
      <c r="AD40" s="179">
        <f t="shared" si="16"/>
        <v>0.5660377358490567</v>
      </c>
      <c r="AE40" s="563">
        <f t="shared" si="71"/>
        <v>1374.0740740740737</v>
      </c>
      <c r="AF40" s="546">
        <f t="shared" si="72"/>
        <v>8.9150943396226423E-2</v>
      </c>
      <c r="AH40" s="179">
        <f t="shared" si="73"/>
        <v>0.66583281184793919</v>
      </c>
      <c r="AI40" s="179">
        <f t="shared" si="74"/>
        <v>0.66583281184793919</v>
      </c>
      <c r="AJ40" s="179">
        <f t="shared" si="75"/>
        <v>1.4709872680355105</v>
      </c>
      <c r="AL40" s="563">
        <f t="shared" si="76"/>
        <v>350</v>
      </c>
      <c r="AM40" s="472">
        <f t="shared" si="77"/>
        <v>350</v>
      </c>
      <c r="AO40">
        <f t="shared" si="49"/>
        <v>350</v>
      </c>
      <c r="AP40" s="472">
        <f t="shared" si="24"/>
        <v>350</v>
      </c>
      <c r="AQ40" s="472"/>
      <c r="AR40" s="6">
        <f t="shared" si="50"/>
        <v>2.8571428571428572</v>
      </c>
      <c r="AS40" s="6">
        <f t="shared" si="25"/>
        <v>0.83229101480992396</v>
      </c>
      <c r="AT40" s="6">
        <f t="shared" si="51"/>
        <v>2.0248518423329331</v>
      </c>
      <c r="AU40" s="179">
        <f t="shared" si="52"/>
        <v>0.2913018551834734</v>
      </c>
      <c r="AW40" s="6">
        <f t="shared" si="78"/>
        <v>5.8260371036694671</v>
      </c>
      <c r="AX40" s="6">
        <f t="shared" si="79"/>
        <v>4.413664472476869</v>
      </c>
      <c r="AY40" s="6">
        <f t="shared" si="28"/>
        <v>0.13670874707108921</v>
      </c>
      <c r="AZ40" s="6"/>
      <c r="BA40" s="179">
        <f t="shared" si="53"/>
        <v>0.20747997691719008</v>
      </c>
      <c r="BB40" s="179">
        <f t="shared" si="80"/>
        <v>0.97085968739359052</v>
      </c>
      <c r="BC40" s="179">
        <f t="shared" si="81"/>
        <v>0.47167599812538602</v>
      </c>
      <c r="BD40" s="179"/>
      <c r="BE40" s="546">
        <f t="shared" si="31"/>
        <v>1.5066779287545205E-2</v>
      </c>
      <c r="BF40" s="546">
        <f t="shared" si="32"/>
        <v>6.9737664130923513E-2</v>
      </c>
      <c r="BG40" s="546">
        <f t="shared" si="33"/>
        <v>4.3749999999999995E-3</v>
      </c>
      <c r="BH40" s="546">
        <f t="shared" si="34"/>
        <v>2.7860175000000001E-2</v>
      </c>
      <c r="BI40">
        <f t="shared" si="35"/>
        <v>6.96E-3</v>
      </c>
      <c r="BJ40">
        <f t="shared" si="82"/>
        <v>0.12669506281123813</v>
      </c>
      <c r="BK40" s="472">
        <f t="shared" si="54"/>
        <v>126.69506281123813</v>
      </c>
      <c r="BL40" s="179">
        <f t="shared" si="83"/>
        <v>0.13579999999999998</v>
      </c>
      <c r="BM40" s="179">
        <f t="shared" si="84"/>
        <v>6.7899999999999988E-2</v>
      </c>
      <c r="BN40" s="546"/>
      <c r="BP40" s="472">
        <f t="shared" si="55"/>
        <v>203.69999999999996</v>
      </c>
      <c r="BQ40" s="546">
        <f t="shared" si="39"/>
        <v>8.6095881643115466E-3</v>
      </c>
      <c r="BR40" s="546">
        <f t="shared" si="56"/>
        <v>3.7702741304239215E-2</v>
      </c>
      <c r="BS40" s="546">
        <f t="shared" si="85"/>
        <v>2.2247824720757918E-2</v>
      </c>
      <c r="BT40" s="546">
        <f t="shared" si="41"/>
        <v>4.14527262166954E-2</v>
      </c>
      <c r="BU40" s="546">
        <f t="shared" si="86"/>
        <v>0.11889220031556441</v>
      </c>
      <c r="BV40" s="655">
        <f t="shared" si="87"/>
        <v>1.5516666666666663E-2</v>
      </c>
      <c r="BW40" s="472">
        <f t="shared" si="57"/>
        <v>134.40886698223107</v>
      </c>
      <c r="BX40" s="179">
        <f t="shared" si="58"/>
        <v>0.46480392979346918</v>
      </c>
      <c r="BY40" s="6">
        <f t="shared" si="59"/>
        <v>2.3274999999999997</v>
      </c>
      <c r="BZ40" s="179">
        <f t="shared" si="60"/>
        <v>0.83354106806423178</v>
      </c>
      <c r="CA40" s="6">
        <f t="shared" si="61"/>
        <v>83.354106806423175</v>
      </c>
      <c r="CB40">
        <f t="shared" si="92"/>
        <v>35</v>
      </c>
      <c r="CD40" s="581">
        <f t="shared" si="88"/>
        <v>-50</v>
      </c>
      <c r="CE40">
        <f t="shared" si="89"/>
        <v>-50</v>
      </c>
    </row>
    <row r="41" spans="5:83" x14ac:dyDescent="0.2">
      <c r="E41" s="176">
        <v>36</v>
      </c>
      <c r="F41" s="223">
        <f t="shared" si="93"/>
        <v>0.36</v>
      </c>
      <c r="G41" s="223">
        <f t="shared" si="90"/>
        <v>0.18</v>
      </c>
      <c r="H41" s="223">
        <f t="shared" si="65"/>
        <v>1.7999999999999998</v>
      </c>
      <c r="I41" s="223">
        <f t="shared" si="94"/>
        <v>0.59399999999999997</v>
      </c>
      <c r="J41" s="559">
        <f t="shared" si="1"/>
        <v>24</v>
      </c>
      <c r="K41" s="454">
        <f t="shared" si="2"/>
        <v>15.899999999999999</v>
      </c>
      <c r="L41" s="454">
        <f t="shared" si="3"/>
        <v>39.9</v>
      </c>
      <c r="M41" s="454"/>
      <c r="N41" s="223">
        <f t="shared" si="4"/>
        <v>0.39849624060150374</v>
      </c>
      <c r="O41" s="178">
        <f t="shared" si="91"/>
        <v>4.8538639832664359</v>
      </c>
      <c r="P41" s="178">
        <f t="shared" si="66"/>
        <v>2.1303609022556387</v>
      </c>
      <c r="Q41" s="223">
        <f t="shared" si="6"/>
        <v>0.9707727966532872</v>
      </c>
      <c r="R41" s="223">
        <f t="shared" si="67"/>
        <v>1.4708678737171019</v>
      </c>
      <c r="S41" s="454">
        <f t="shared" si="68"/>
        <v>5</v>
      </c>
      <c r="T41" s="223">
        <f t="shared" si="69"/>
        <v>0.55625786163522006</v>
      </c>
      <c r="U41" s="223">
        <f t="shared" si="10"/>
        <v>0.69532232704402508</v>
      </c>
      <c r="V41" s="223">
        <f t="shared" si="11"/>
        <v>1.0495431351607927</v>
      </c>
      <c r="W41" s="203">
        <f t="shared" si="12"/>
        <v>350</v>
      </c>
      <c r="X41" s="454">
        <f t="shared" si="48"/>
        <v>350</v>
      </c>
      <c r="Z41" s="223">
        <f t="shared" si="13"/>
        <v>0.91084854994629427</v>
      </c>
      <c r="AA41" s="179">
        <f t="shared" si="14"/>
        <v>1.7185821697099894</v>
      </c>
      <c r="AB41" s="179">
        <f t="shared" si="70"/>
        <v>0.82181824055304764</v>
      </c>
      <c r="AC41" s="179"/>
      <c r="AD41" s="179">
        <f t="shared" si="16"/>
        <v>0.5660377358490567</v>
      </c>
      <c r="AE41" s="563">
        <f t="shared" si="71"/>
        <v>1413.333333333333</v>
      </c>
      <c r="AF41" s="546">
        <f t="shared" si="72"/>
        <v>8.9150943396226423E-2</v>
      </c>
      <c r="AH41" s="179">
        <f t="shared" si="73"/>
        <v>0.67527772064536529</v>
      </c>
      <c r="AI41" s="179">
        <f t="shared" si="74"/>
        <v>0.67527772064536529</v>
      </c>
      <c r="AJ41" s="179">
        <f t="shared" si="75"/>
        <v>1.4779834967743446</v>
      </c>
      <c r="AL41" s="563">
        <f t="shared" si="76"/>
        <v>360</v>
      </c>
      <c r="AM41" s="472">
        <f t="shared" si="77"/>
        <v>350</v>
      </c>
      <c r="AO41">
        <f t="shared" si="49"/>
        <v>360</v>
      </c>
      <c r="AP41" s="472">
        <f t="shared" si="24"/>
        <v>350</v>
      </c>
      <c r="AQ41" s="472"/>
      <c r="AR41" s="6">
        <f t="shared" si="50"/>
        <v>2.8571428571428572</v>
      </c>
      <c r="AS41" s="6">
        <f t="shared" si="25"/>
        <v>0.84409715080670666</v>
      </c>
      <c r="AT41" s="6">
        <f t="shared" si="51"/>
        <v>2.0130457063361504</v>
      </c>
      <c r="AU41" s="179">
        <f t="shared" si="52"/>
        <v>0.29543400278234733</v>
      </c>
      <c r="AW41" s="6">
        <f t="shared" si="78"/>
        <v>6.0774994858082874</v>
      </c>
      <c r="AX41" s="6">
        <f t="shared" si="79"/>
        <v>4.6041662771274909</v>
      </c>
      <c r="AY41" s="6">
        <f t="shared" si="28"/>
        <v>0.13979484071778819</v>
      </c>
      <c r="AZ41" s="6"/>
      <c r="BA41" s="179">
        <f t="shared" si="53"/>
        <v>0.21191028390079797</v>
      </c>
      <c r="BB41" s="179">
        <f t="shared" si="80"/>
        <v>0.98175673371449246</v>
      </c>
      <c r="BC41" s="179">
        <f t="shared" si="81"/>
        <v>0.47697014646295754</v>
      </c>
      <c r="BD41" s="179"/>
      <c r="BE41" s="546">
        <f t="shared" si="31"/>
        <v>1.5717088948020878E-2</v>
      </c>
      <c r="BF41" s="546">
        <f t="shared" si="32"/>
        <v>7.0726900266093934E-2</v>
      </c>
      <c r="BG41" s="546">
        <f t="shared" si="33"/>
        <v>4.3749999999999995E-3</v>
      </c>
      <c r="BH41" s="546">
        <f t="shared" si="34"/>
        <v>2.7860175000000001E-2</v>
      </c>
      <c r="BI41">
        <f t="shared" si="35"/>
        <v>6.96E-3</v>
      </c>
      <c r="BJ41">
        <f t="shared" si="82"/>
        <v>0.12846056376819306</v>
      </c>
      <c r="BK41" s="472">
        <f t="shared" si="54"/>
        <v>128.46056376819305</v>
      </c>
      <c r="BL41" s="179">
        <f t="shared" si="83"/>
        <v>0.13968</v>
      </c>
      <c r="BM41" s="179">
        <f t="shared" si="84"/>
        <v>6.9839999999999999E-2</v>
      </c>
      <c r="BN41" s="546"/>
      <c r="BP41" s="472">
        <f t="shared" si="55"/>
        <v>209.51999999999998</v>
      </c>
      <c r="BQ41" s="546">
        <f t="shared" si="39"/>
        <v>8.9811936845833589E-3</v>
      </c>
      <c r="BR41" s="546">
        <f t="shared" si="56"/>
        <v>3.8553851367749956E-2</v>
      </c>
      <c r="BS41" s="546">
        <f t="shared" si="85"/>
        <v>2.2750052061689521E-2</v>
      </c>
      <c r="BT41" s="546">
        <f t="shared" si="41"/>
        <v>4.2938430760060743E-2</v>
      </c>
      <c r="BU41" s="546">
        <f t="shared" si="86"/>
        <v>0.12234566568731131</v>
      </c>
      <c r="BV41" s="655">
        <f t="shared" si="87"/>
        <v>1.5960000000000002E-2</v>
      </c>
      <c r="BW41" s="472">
        <f t="shared" si="57"/>
        <v>138.30566568731132</v>
      </c>
      <c r="BX41" s="179">
        <f t="shared" si="58"/>
        <v>0.47628622945550436</v>
      </c>
      <c r="BY41" s="6">
        <f t="shared" si="59"/>
        <v>2.3939999999999997</v>
      </c>
      <c r="BZ41" s="179">
        <f t="shared" si="60"/>
        <v>0.8340631590787877</v>
      </c>
      <c r="CA41" s="6">
        <f t="shared" si="61"/>
        <v>83.406315907878763</v>
      </c>
      <c r="CB41">
        <f t="shared" si="92"/>
        <v>36</v>
      </c>
      <c r="CD41" s="581">
        <f t="shared" si="88"/>
        <v>-50</v>
      </c>
      <c r="CE41">
        <f t="shared" si="89"/>
        <v>-50</v>
      </c>
    </row>
    <row r="42" spans="5:83" x14ac:dyDescent="0.2">
      <c r="E42" s="176">
        <v>37</v>
      </c>
      <c r="F42" s="223">
        <f t="shared" si="93"/>
        <v>0.37</v>
      </c>
      <c r="G42" s="223">
        <f t="shared" si="90"/>
        <v>0.185</v>
      </c>
      <c r="H42" s="223">
        <f t="shared" si="65"/>
        <v>1.85</v>
      </c>
      <c r="I42" s="223">
        <f t="shared" si="94"/>
        <v>0.61049999999999993</v>
      </c>
      <c r="J42" s="559">
        <f t="shared" si="1"/>
        <v>24</v>
      </c>
      <c r="K42" s="454">
        <f t="shared" si="2"/>
        <v>15.899999999999999</v>
      </c>
      <c r="L42" s="454">
        <f t="shared" si="3"/>
        <v>39.9</v>
      </c>
      <c r="M42" s="454"/>
      <c r="N42" s="223">
        <f t="shared" si="4"/>
        <v>0.39849624060150374</v>
      </c>
      <c r="O42" s="178">
        <f t="shared" si="91"/>
        <v>4.8538639832664359</v>
      </c>
      <c r="P42" s="178">
        <f t="shared" si="66"/>
        <v>2.1303609022556387</v>
      </c>
      <c r="Q42" s="223">
        <f t="shared" si="6"/>
        <v>0.9707727966532872</v>
      </c>
      <c r="R42" s="223">
        <f t="shared" si="67"/>
        <v>1.4708678737171019</v>
      </c>
      <c r="S42" s="454">
        <f t="shared" si="68"/>
        <v>5</v>
      </c>
      <c r="T42" s="223">
        <f t="shared" si="69"/>
        <v>0.57170946890286511</v>
      </c>
      <c r="U42" s="223">
        <f t="shared" si="10"/>
        <v>0.71463683612858142</v>
      </c>
      <c r="V42" s="223">
        <f t="shared" si="11"/>
        <v>1.0786971111374815</v>
      </c>
      <c r="W42" s="203">
        <f t="shared" si="12"/>
        <v>350</v>
      </c>
      <c r="X42" s="454">
        <f t="shared" si="48"/>
        <v>350</v>
      </c>
      <c r="Z42" s="223">
        <f t="shared" si="13"/>
        <v>0.91084854994629427</v>
      </c>
      <c r="AA42" s="179">
        <f t="shared" si="14"/>
        <v>1.7185821697099894</v>
      </c>
      <c r="AB42" s="179">
        <f t="shared" si="70"/>
        <v>0.82181824055304764</v>
      </c>
      <c r="AC42" s="179"/>
      <c r="AD42" s="179">
        <f t="shared" si="16"/>
        <v>0.5660377358490567</v>
      </c>
      <c r="AE42" s="563">
        <f t="shared" si="71"/>
        <v>1452.5925925925924</v>
      </c>
      <c r="AF42" s="546">
        <f t="shared" si="72"/>
        <v>8.9150943396226423E-2</v>
      </c>
      <c r="AH42" s="179">
        <f t="shared" si="73"/>
        <v>0.68459233611446946</v>
      </c>
      <c r="AI42" s="179">
        <f t="shared" si="74"/>
        <v>0.68459233611446946</v>
      </c>
      <c r="AJ42" s="179">
        <f t="shared" si="75"/>
        <v>1.484883211936644</v>
      </c>
      <c r="AL42" s="563">
        <f t="shared" si="76"/>
        <v>370</v>
      </c>
      <c r="AM42" s="472">
        <f t="shared" si="77"/>
        <v>350</v>
      </c>
      <c r="AO42">
        <f t="shared" si="49"/>
        <v>370</v>
      </c>
      <c r="AP42" s="472">
        <f t="shared" si="24"/>
        <v>350</v>
      </c>
      <c r="AQ42" s="472"/>
      <c r="AR42" s="6">
        <f t="shared" si="50"/>
        <v>2.8571428571428572</v>
      </c>
      <c r="AS42" s="6">
        <f t="shared" si="25"/>
        <v>0.85574042014308682</v>
      </c>
      <c r="AT42" s="6">
        <f t="shared" si="51"/>
        <v>2.0014024369997703</v>
      </c>
      <c r="AU42" s="179">
        <f t="shared" si="52"/>
        <v>0.29950914705008036</v>
      </c>
      <c r="AW42" s="6">
        <f t="shared" si="78"/>
        <v>6.332479109058843</v>
      </c>
      <c r="AX42" s="6">
        <f t="shared" si="79"/>
        <v>4.7973326583779112</v>
      </c>
      <c r="AY42" s="6">
        <f t="shared" si="28"/>
        <v>0.14284701035685088</v>
      </c>
      <c r="AZ42" s="6"/>
      <c r="BA42" s="179">
        <f t="shared" si="53"/>
        <v>0.21630992702149823</v>
      </c>
      <c r="BB42" s="179">
        <f t="shared" si="80"/>
        <v>0.99241631347312464</v>
      </c>
      <c r="BC42" s="179">
        <f t="shared" si="81"/>
        <v>0.48214892562902639</v>
      </c>
      <c r="BD42" s="179"/>
      <c r="BE42" s="546">
        <f t="shared" si="31"/>
        <v>1.6376494584816062E-2</v>
      </c>
      <c r="BF42" s="546">
        <f t="shared" si="32"/>
        <v>7.1702489803789238E-2</v>
      </c>
      <c r="BG42" s="546">
        <f t="shared" si="33"/>
        <v>4.3749999999999995E-3</v>
      </c>
      <c r="BH42" s="546">
        <f t="shared" si="34"/>
        <v>2.7860175000000001E-2</v>
      </c>
      <c r="BI42">
        <f t="shared" si="35"/>
        <v>6.96E-3</v>
      </c>
      <c r="BJ42">
        <f t="shared" si="82"/>
        <v>0.13022393607137206</v>
      </c>
      <c r="BK42" s="472">
        <f t="shared" si="54"/>
        <v>130.22393607137207</v>
      </c>
      <c r="BL42" s="179">
        <f t="shared" si="83"/>
        <v>0.14355999999999999</v>
      </c>
      <c r="BM42" s="179">
        <f t="shared" si="84"/>
        <v>7.1779999999999997E-2</v>
      </c>
      <c r="BN42" s="546"/>
      <c r="BP42" s="472">
        <f t="shared" si="55"/>
        <v>215.33999999999997</v>
      </c>
      <c r="BQ42" s="546">
        <f t="shared" si="39"/>
        <v>9.3579969056091783E-3</v>
      </c>
      <c r="BR42" s="546">
        <f t="shared" si="56"/>
        <v>3.9395605569903486E-2</v>
      </c>
      <c r="BS42" s="546">
        <f t="shared" si="85"/>
        <v>2.3246758648522443E-2</v>
      </c>
      <c r="BT42" s="546">
        <f t="shared" si="41"/>
        <v>4.4434489772822307E-2</v>
      </c>
      <c r="BU42" s="546">
        <f t="shared" si="86"/>
        <v>0.125799503003379</v>
      </c>
      <c r="BV42" s="655">
        <f t="shared" si="87"/>
        <v>1.6403333333333336E-2</v>
      </c>
      <c r="BW42" s="472">
        <f t="shared" si="57"/>
        <v>142.20283633671232</v>
      </c>
      <c r="BX42" s="179">
        <f t="shared" si="58"/>
        <v>0.48776677240808441</v>
      </c>
      <c r="BY42" s="6">
        <f t="shared" si="59"/>
        <v>2.4605000000000001</v>
      </c>
      <c r="BZ42" s="179">
        <f t="shared" si="60"/>
        <v>0.83455812853404499</v>
      </c>
      <c r="CA42" s="6">
        <f t="shared" si="61"/>
        <v>83.455812853404495</v>
      </c>
      <c r="CB42">
        <f t="shared" si="92"/>
        <v>37</v>
      </c>
      <c r="CD42" s="581">
        <f t="shared" si="88"/>
        <v>-50</v>
      </c>
      <c r="CE42">
        <f t="shared" si="89"/>
        <v>-50</v>
      </c>
    </row>
    <row r="43" spans="5:83" x14ac:dyDescent="0.2">
      <c r="E43" s="176">
        <v>38</v>
      </c>
      <c r="F43" s="223">
        <f t="shared" si="93"/>
        <v>0.38</v>
      </c>
      <c r="G43" s="223">
        <f t="shared" si="90"/>
        <v>0.19</v>
      </c>
      <c r="H43" s="223">
        <f t="shared" si="65"/>
        <v>1.9</v>
      </c>
      <c r="I43" s="223">
        <f t="shared" si="94"/>
        <v>0.627</v>
      </c>
      <c r="J43" s="559">
        <f t="shared" si="1"/>
        <v>24</v>
      </c>
      <c r="K43" s="454">
        <f t="shared" si="2"/>
        <v>15.899999999999999</v>
      </c>
      <c r="L43" s="454">
        <f t="shared" si="3"/>
        <v>39.9</v>
      </c>
      <c r="M43" s="454"/>
      <c r="N43" s="223">
        <f t="shared" si="4"/>
        <v>0.39849624060150374</v>
      </c>
      <c r="O43" s="178">
        <f t="shared" si="91"/>
        <v>4.8538639832664359</v>
      </c>
      <c r="P43" s="178">
        <f t="shared" si="66"/>
        <v>2.1303609022556387</v>
      </c>
      <c r="Q43" s="223">
        <f t="shared" si="6"/>
        <v>0.9707727966532872</v>
      </c>
      <c r="R43" s="223">
        <f t="shared" si="67"/>
        <v>1.4708678737171019</v>
      </c>
      <c r="S43" s="454">
        <f t="shared" si="68"/>
        <v>5</v>
      </c>
      <c r="T43" s="223">
        <f t="shared" si="69"/>
        <v>0.58716107617051017</v>
      </c>
      <c r="U43" s="223">
        <f t="shared" si="10"/>
        <v>0.73395134521313776</v>
      </c>
      <c r="V43" s="223">
        <f t="shared" si="11"/>
        <v>1.1078510871141702</v>
      </c>
      <c r="W43" s="203">
        <f t="shared" si="12"/>
        <v>350</v>
      </c>
      <c r="X43" s="454">
        <f t="shared" si="48"/>
        <v>350</v>
      </c>
      <c r="Z43" s="223">
        <f t="shared" si="13"/>
        <v>0.91084854994629427</v>
      </c>
      <c r="AA43" s="179">
        <f t="shared" si="14"/>
        <v>1.7185821697099894</v>
      </c>
      <c r="AB43" s="179">
        <f t="shared" si="70"/>
        <v>0.82181824055304764</v>
      </c>
      <c r="AC43" s="179"/>
      <c r="AD43" s="179">
        <f t="shared" si="16"/>
        <v>0.5660377358490567</v>
      </c>
      <c r="AE43" s="563">
        <f t="shared" si="71"/>
        <v>1491.8518518518517</v>
      </c>
      <c r="AF43" s="546">
        <f t="shared" si="72"/>
        <v>8.9150943396226423E-2</v>
      </c>
      <c r="AH43" s="179">
        <f t="shared" si="73"/>
        <v>0.69378190617321045</v>
      </c>
      <c r="AI43" s="179">
        <f t="shared" si="74"/>
        <v>0.69378190617321045</v>
      </c>
      <c r="AJ43" s="179">
        <f t="shared" si="75"/>
        <v>1.4916903008690447</v>
      </c>
      <c r="AL43" s="563">
        <f t="shared" si="76"/>
        <v>380</v>
      </c>
      <c r="AM43" s="472">
        <f t="shared" si="77"/>
        <v>350</v>
      </c>
      <c r="AO43">
        <f t="shared" si="49"/>
        <v>380</v>
      </c>
      <c r="AP43" s="472">
        <f t="shared" si="24"/>
        <v>350</v>
      </c>
      <c r="AQ43" s="472"/>
      <c r="AR43" s="6">
        <f t="shared" si="50"/>
        <v>2.8571428571428572</v>
      </c>
      <c r="AS43" s="6">
        <f t="shared" si="25"/>
        <v>0.86722738271651301</v>
      </c>
      <c r="AT43" s="6">
        <f t="shared" si="51"/>
        <v>1.9899154744263443</v>
      </c>
      <c r="AU43" s="179">
        <f t="shared" si="52"/>
        <v>0.30352958395077956</v>
      </c>
      <c r="AW43" s="6">
        <f t="shared" si="78"/>
        <v>6.5909281086454978</v>
      </c>
      <c r="AX43" s="6">
        <f t="shared" si="79"/>
        <v>4.9931273550344688</v>
      </c>
      <c r="AY43" s="6">
        <f t="shared" si="28"/>
        <v>0.1458657176469928</v>
      </c>
      <c r="AZ43" s="6"/>
      <c r="BA43" s="179">
        <f t="shared" si="53"/>
        <v>0.22067993898276342</v>
      </c>
      <c r="BB43" s="179">
        <f t="shared" si="80"/>
        <v>1.0028475860144821</v>
      </c>
      <c r="BC43" s="179">
        <f t="shared" si="81"/>
        <v>0.48721678553870262</v>
      </c>
      <c r="BD43" s="179"/>
      <c r="BE43" s="546">
        <f t="shared" si="31"/>
        <v>1.7044872414302664E-2</v>
      </c>
      <c r="BF43" s="546">
        <f t="shared" si="32"/>
        <v>7.2664982397816616E-2</v>
      </c>
      <c r="BG43" s="546">
        <f t="shared" si="33"/>
        <v>4.3749999999999995E-3</v>
      </c>
      <c r="BH43" s="546">
        <f t="shared" si="34"/>
        <v>2.7860175000000001E-2</v>
      </c>
      <c r="BI43">
        <f t="shared" si="35"/>
        <v>6.96E-3</v>
      </c>
      <c r="BJ43">
        <f t="shared" si="82"/>
        <v>0.13198560092087885</v>
      </c>
      <c r="BK43" s="472">
        <f t="shared" si="54"/>
        <v>131.98560092087885</v>
      </c>
      <c r="BL43" s="179">
        <f t="shared" si="83"/>
        <v>0.14744000000000002</v>
      </c>
      <c r="BM43" s="179">
        <f t="shared" si="84"/>
        <v>7.3720000000000008E-2</v>
      </c>
      <c r="BN43" s="546"/>
      <c r="BP43" s="472">
        <f t="shared" si="55"/>
        <v>221.16000000000003</v>
      </c>
      <c r="BQ43" s="546">
        <f t="shared" si="39"/>
        <v>9.7399270938872372E-3</v>
      </c>
      <c r="BR43" s="546">
        <f t="shared" si="56"/>
        <v>4.0228131231002967E-2</v>
      </c>
      <c r="BS43" s="546">
        <f t="shared" si="85"/>
        <v>2.3738019611066617E-2</v>
      </c>
      <c r="BT43" s="546">
        <f t="shared" si="41"/>
        <v>4.5940692604228256E-2</v>
      </c>
      <c r="BU43" s="546">
        <f t="shared" si="86"/>
        <v>0.12925364221462612</v>
      </c>
      <c r="BV43" s="655">
        <f t="shared" si="87"/>
        <v>1.684666666666667E-2</v>
      </c>
      <c r="BW43" s="472">
        <f t="shared" si="57"/>
        <v>146.10030888129279</v>
      </c>
      <c r="BX43" s="179">
        <f t="shared" si="58"/>
        <v>0.49924590980217165</v>
      </c>
      <c r="BY43" s="6">
        <f t="shared" si="59"/>
        <v>2.5270000000000001</v>
      </c>
      <c r="BZ43" s="179">
        <f t="shared" si="60"/>
        <v>0.83502797701102627</v>
      </c>
      <c r="CA43" s="6">
        <f t="shared" si="61"/>
        <v>83.502797701102622</v>
      </c>
      <c r="CB43">
        <f t="shared" si="92"/>
        <v>38</v>
      </c>
      <c r="CD43" s="581">
        <f t="shared" si="88"/>
        <v>-50</v>
      </c>
      <c r="CE43">
        <f t="shared" si="89"/>
        <v>-50</v>
      </c>
    </row>
    <row r="44" spans="5:83" x14ac:dyDescent="0.2">
      <c r="E44" s="176">
        <v>39</v>
      </c>
      <c r="F44" s="223">
        <f t="shared" si="93"/>
        <v>0.39</v>
      </c>
      <c r="G44" s="223">
        <f t="shared" si="90"/>
        <v>0.19500000000000001</v>
      </c>
      <c r="H44" s="223">
        <f t="shared" si="65"/>
        <v>1.9500000000000002</v>
      </c>
      <c r="I44" s="223">
        <f t="shared" si="94"/>
        <v>0.64349999999999996</v>
      </c>
      <c r="J44" s="559">
        <f t="shared" si="1"/>
        <v>24</v>
      </c>
      <c r="K44" s="454">
        <f t="shared" si="2"/>
        <v>15.899999999999999</v>
      </c>
      <c r="L44" s="454">
        <f t="shared" si="3"/>
        <v>39.9</v>
      </c>
      <c r="M44" s="454"/>
      <c r="N44" s="223">
        <f t="shared" si="4"/>
        <v>0.39849624060150374</v>
      </c>
      <c r="O44" s="178">
        <f t="shared" si="91"/>
        <v>4.8538639832664359</v>
      </c>
      <c r="P44" s="178">
        <f t="shared" si="66"/>
        <v>2.1303609022556387</v>
      </c>
      <c r="Q44" s="223">
        <f t="shared" si="6"/>
        <v>0.9707727966532872</v>
      </c>
      <c r="R44" s="223">
        <f t="shared" si="67"/>
        <v>1.4708678737171019</v>
      </c>
      <c r="S44" s="454">
        <f t="shared" si="68"/>
        <v>5</v>
      </c>
      <c r="T44" s="223">
        <f t="shared" si="69"/>
        <v>0.60261268343815511</v>
      </c>
      <c r="U44" s="223">
        <f t="shared" si="10"/>
        <v>0.75326585429769388</v>
      </c>
      <c r="V44" s="223">
        <f t="shared" si="11"/>
        <v>1.1370050630908588</v>
      </c>
      <c r="W44" s="203">
        <f t="shared" si="12"/>
        <v>350</v>
      </c>
      <c r="X44" s="454">
        <f t="shared" si="48"/>
        <v>350</v>
      </c>
      <c r="Z44" s="223">
        <f t="shared" si="13"/>
        <v>0.91084854994629427</v>
      </c>
      <c r="AA44" s="179">
        <f t="shared" si="14"/>
        <v>1.7185821697099894</v>
      </c>
      <c r="AB44" s="179">
        <f t="shared" si="70"/>
        <v>0.82181824055304764</v>
      </c>
      <c r="AC44" s="179"/>
      <c r="AD44" s="179">
        <f t="shared" si="16"/>
        <v>0.5660377358490567</v>
      </c>
      <c r="AE44" s="563">
        <f t="shared" si="71"/>
        <v>1531.1111111111109</v>
      </c>
      <c r="AF44" s="546">
        <f t="shared" si="72"/>
        <v>8.9150943396226423E-2</v>
      </c>
      <c r="AH44" s="179">
        <f t="shared" si="73"/>
        <v>0.70285133563222324</v>
      </c>
      <c r="AI44" s="179">
        <f t="shared" si="74"/>
        <v>0.70285133563222324</v>
      </c>
      <c r="AJ44" s="179">
        <f t="shared" si="75"/>
        <v>1.4984083967646098</v>
      </c>
      <c r="AL44" s="563">
        <f t="shared" si="76"/>
        <v>390</v>
      </c>
      <c r="AM44" s="472">
        <f t="shared" si="77"/>
        <v>350</v>
      </c>
      <c r="AO44">
        <f t="shared" si="49"/>
        <v>390</v>
      </c>
      <c r="AP44" s="472">
        <f t="shared" si="24"/>
        <v>350</v>
      </c>
      <c r="AQ44" s="472"/>
      <c r="AR44" s="6">
        <f t="shared" si="50"/>
        <v>2.8571428571428572</v>
      </c>
      <c r="AS44" s="6">
        <f t="shared" si="25"/>
        <v>0.87856416954027905</v>
      </c>
      <c r="AT44" s="6">
        <f t="shared" si="51"/>
        <v>1.9785786876025782</v>
      </c>
      <c r="AU44" s="179">
        <f t="shared" si="52"/>
        <v>0.30749745933909767</v>
      </c>
      <c r="AW44" s="6">
        <f t="shared" si="78"/>
        <v>6.8528005224141761</v>
      </c>
      <c r="AX44" s="6">
        <f t="shared" si="79"/>
        <v>5.1915155472834664</v>
      </c>
      <c r="AY44" s="6">
        <f t="shared" si="28"/>
        <v>0.14885140589602727</v>
      </c>
      <c r="AZ44" s="6"/>
      <c r="BA44" s="179">
        <f t="shared" si="53"/>
        <v>0.22502129152113162</v>
      </c>
      <c r="BB44" s="179">
        <f t="shared" si="80"/>
        <v>1.0130591124211152</v>
      </c>
      <c r="BC44" s="179">
        <f t="shared" si="81"/>
        <v>0.49217788545125846</v>
      </c>
      <c r="BD44" s="179"/>
      <c r="BE44" s="546">
        <f t="shared" si="31"/>
        <v>1.7722103573243334E-2</v>
      </c>
      <c r="BF44" s="546">
        <f t="shared" si="32"/>
        <v>7.3614891765779969E-2</v>
      </c>
      <c r="BG44" s="546">
        <f t="shared" si="33"/>
        <v>4.3749999999999995E-3</v>
      </c>
      <c r="BH44" s="546">
        <f t="shared" si="34"/>
        <v>2.7860175000000001E-2</v>
      </c>
      <c r="BI44">
        <f t="shared" si="35"/>
        <v>6.96E-3</v>
      </c>
      <c r="BJ44">
        <f t="shared" si="82"/>
        <v>0.13374594926078809</v>
      </c>
      <c r="BK44" s="472">
        <f t="shared" si="54"/>
        <v>133.74594926078808</v>
      </c>
      <c r="BL44" s="179">
        <f t="shared" si="83"/>
        <v>0.15132000000000001</v>
      </c>
      <c r="BM44" s="179">
        <f t="shared" si="84"/>
        <v>7.5660000000000005E-2</v>
      </c>
      <c r="BN44" s="546"/>
      <c r="BP44" s="472">
        <f t="shared" si="55"/>
        <v>226.98000000000002</v>
      </c>
      <c r="BQ44" s="546">
        <f t="shared" si="39"/>
        <v>1.012691632756762E-2</v>
      </c>
      <c r="BR44" s="546">
        <f t="shared" si="56"/>
        <v>4.1051550610378316E-2</v>
      </c>
      <c r="BS44" s="546">
        <f t="shared" si="85"/>
        <v>2.4223907092727211E-2</v>
      </c>
      <c r="BT44" s="546">
        <f t="shared" si="41"/>
        <v>4.7456838340149847E-2</v>
      </c>
      <c r="BU44" s="546">
        <f t="shared" si="86"/>
        <v>0.13270801721859865</v>
      </c>
      <c r="BV44" s="655">
        <f t="shared" si="87"/>
        <v>1.7290000000000007E-2</v>
      </c>
      <c r="BW44" s="472">
        <f t="shared" si="57"/>
        <v>149.99801721859865</v>
      </c>
      <c r="BX44" s="179">
        <f t="shared" si="58"/>
        <v>0.51072396647938678</v>
      </c>
      <c r="BY44" s="6">
        <f t="shared" si="59"/>
        <v>2.5935000000000001</v>
      </c>
      <c r="BZ44" s="179">
        <f t="shared" si="60"/>
        <v>0.83547451086185076</v>
      </c>
      <c r="CA44" s="6">
        <f t="shared" si="61"/>
        <v>83.547451086185077</v>
      </c>
      <c r="CB44">
        <f t="shared" si="92"/>
        <v>39</v>
      </c>
      <c r="CD44" s="581">
        <f t="shared" si="88"/>
        <v>-50</v>
      </c>
      <c r="CE44">
        <f t="shared" si="89"/>
        <v>-50</v>
      </c>
    </row>
    <row r="45" spans="5:83" x14ac:dyDescent="0.2">
      <c r="E45" s="176">
        <v>40</v>
      </c>
      <c r="F45" s="223">
        <f t="shared" si="93"/>
        <v>0.4</v>
      </c>
      <c r="G45" s="223">
        <f t="shared" si="90"/>
        <v>0.2</v>
      </c>
      <c r="H45" s="223">
        <f t="shared" si="65"/>
        <v>2</v>
      </c>
      <c r="I45" s="223">
        <f t="shared" si="94"/>
        <v>0.66</v>
      </c>
      <c r="J45" s="559">
        <f t="shared" si="1"/>
        <v>24</v>
      </c>
      <c r="K45" s="454">
        <f t="shared" si="2"/>
        <v>15.899999999999999</v>
      </c>
      <c r="L45" s="454">
        <f t="shared" si="3"/>
        <v>39.9</v>
      </c>
      <c r="M45" s="454"/>
      <c r="N45" s="223">
        <f t="shared" si="4"/>
        <v>0.39849624060150374</v>
      </c>
      <c r="O45" s="178">
        <f t="shared" si="91"/>
        <v>4.8538639832664359</v>
      </c>
      <c r="P45" s="178">
        <f t="shared" si="66"/>
        <v>2.1303609022556387</v>
      </c>
      <c r="Q45" s="223">
        <f t="shared" si="6"/>
        <v>0.9707727966532872</v>
      </c>
      <c r="R45" s="223">
        <f t="shared" si="67"/>
        <v>1.4708678737171019</v>
      </c>
      <c r="S45" s="454">
        <f t="shared" si="68"/>
        <v>5</v>
      </c>
      <c r="T45" s="223">
        <f t="shared" si="69"/>
        <v>0.61806429070580016</v>
      </c>
      <c r="U45" s="223">
        <f t="shared" si="10"/>
        <v>0.77258036338225022</v>
      </c>
      <c r="V45" s="223">
        <f t="shared" si="11"/>
        <v>1.1661590390675476</v>
      </c>
      <c r="W45" s="203">
        <f t="shared" si="12"/>
        <v>350</v>
      </c>
      <c r="X45" s="454">
        <f t="shared" si="48"/>
        <v>350</v>
      </c>
      <c r="Z45" s="223">
        <f t="shared" si="13"/>
        <v>0.91084854994629427</v>
      </c>
      <c r="AA45" s="179">
        <f t="shared" si="14"/>
        <v>1.7185821697099894</v>
      </c>
      <c r="AB45" s="179">
        <f t="shared" si="70"/>
        <v>0.82181824055304764</v>
      </c>
      <c r="AC45" s="179"/>
      <c r="AD45" s="179">
        <f t="shared" si="16"/>
        <v>0.5660377358490567</v>
      </c>
      <c r="AE45" s="563">
        <f t="shared" si="71"/>
        <v>1570.3703703703702</v>
      </c>
      <c r="AF45" s="546">
        <f t="shared" si="72"/>
        <v>8.9150943396226423E-2</v>
      </c>
      <c r="AH45" s="179">
        <f t="shared" si="73"/>
        <v>0.71180521680208741</v>
      </c>
      <c r="AI45" s="179">
        <f t="shared" si="74"/>
        <v>0.71180521680208741</v>
      </c>
      <c r="AJ45" s="179">
        <f t="shared" si="75"/>
        <v>1.5050409013348796</v>
      </c>
      <c r="AL45" s="563">
        <f t="shared" si="76"/>
        <v>400</v>
      </c>
      <c r="AM45" s="472">
        <f t="shared" si="77"/>
        <v>350</v>
      </c>
      <c r="AO45">
        <f t="shared" si="49"/>
        <v>400</v>
      </c>
      <c r="AP45" s="472">
        <f t="shared" si="24"/>
        <v>350</v>
      </c>
      <c r="AQ45" s="472"/>
      <c r="AR45" s="6">
        <f t="shared" si="50"/>
        <v>2.8571428571428572</v>
      </c>
      <c r="AS45" s="6">
        <f t="shared" si="25"/>
        <v>0.88975652100260927</v>
      </c>
      <c r="AT45" s="6">
        <f t="shared" si="51"/>
        <v>1.9673863361402479</v>
      </c>
      <c r="AU45" s="179">
        <f t="shared" si="52"/>
        <v>0.31141478235091324</v>
      </c>
      <c r="AW45" s="6">
        <f t="shared" si="78"/>
        <v>7.1180521680208741</v>
      </c>
      <c r="AX45" s="6">
        <f t="shared" si="79"/>
        <v>5.3924637636521773</v>
      </c>
      <c r="AY45" s="6">
        <f t="shared" si="28"/>
        <v>0.15180450124538949</v>
      </c>
      <c r="AZ45" s="6"/>
      <c r="BA45" s="179">
        <f t="shared" si="53"/>
        <v>0.22933490047269497</v>
      </c>
      <c r="BB45" s="179">
        <f t="shared" si="80"/>
        <v>1.0230589087763284</v>
      </c>
      <c r="BC45" s="179">
        <f t="shared" si="81"/>
        <v>0.49703611984716617</v>
      </c>
      <c r="BD45" s="179"/>
      <c r="BE45" s="546">
        <f t="shared" si="31"/>
        <v>1.8408073801187318E-2</v>
      </c>
      <c r="BF45" s="546">
        <f t="shared" si="32"/>
        <v>7.4552698894808631E-2</v>
      </c>
      <c r="BG45" s="546">
        <f t="shared" si="33"/>
        <v>4.3749999999999995E-3</v>
      </c>
      <c r="BH45" s="546">
        <f t="shared" si="34"/>
        <v>2.7860175000000001E-2</v>
      </c>
      <c r="BI45">
        <f t="shared" si="35"/>
        <v>6.96E-3</v>
      </c>
      <c r="BJ45">
        <f t="shared" si="82"/>
        <v>0.13550534462029043</v>
      </c>
      <c r="BK45" s="472">
        <f t="shared" si="54"/>
        <v>135.50534462029043</v>
      </c>
      <c r="BL45" s="179">
        <f t="shared" si="83"/>
        <v>0.15520000000000003</v>
      </c>
      <c r="BM45" s="179">
        <f t="shared" si="84"/>
        <v>7.7600000000000016E-2</v>
      </c>
      <c r="BN45" s="546"/>
      <c r="BP45" s="472">
        <f t="shared" si="55"/>
        <v>232.80000000000007</v>
      </c>
      <c r="BQ45" s="546">
        <f t="shared" si="39"/>
        <v>1.0518899314964183E-2</v>
      </c>
      <c r="BR45" s="546">
        <f t="shared" si="56"/>
        <v>4.1865981233064481E-2</v>
      </c>
      <c r="BS45" s="546">
        <f t="shared" si="85"/>
        <v>2.4704490443272654E-2</v>
      </c>
      <c r="BT45" s="546">
        <f t="shared" si="41"/>
        <v>4.8982735113984266E-2</v>
      </c>
      <c r="BU45" s="546">
        <f t="shared" si="86"/>
        <v>0.13616256554668624</v>
      </c>
      <c r="BV45" s="655">
        <f t="shared" si="87"/>
        <v>1.7733333333333337E-2</v>
      </c>
      <c r="BW45" s="472">
        <f t="shared" si="57"/>
        <v>153.89589888001959</v>
      </c>
      <c r="BX45" s="179">
        <f t="shared" si="58"/>
        <v>0.52220124350031005</v>
      </c>
      <c r="BY45" s="6">
        <f t="shared" si="59"/>
        <v>2.66</v>
      </c>
      <c r="BZ45" s="179">
        <f t="shared" si="60"/>
        <v>0.83589936539465781</v>
      </c>
      <c r="CA45" s="6">
        <f t="shared" si="61"/>
        <v>83.589936539465782</v>
      </c>
      <c r="CB45">
        <f t="shared" si="92"/>
        <v>40</v>
      </c>
      <c r="CD45" s="581">
        <f t="shared" si="88"/>
        <v>-50</v>
      </c>
      <c r="CE45">
        <f t="shared" si="89"/>
        <v>-50</v>
      </c>
    </row>
    <row r="46" spans="5:83" x14ac:dyDescent="0.2">
      <c r="E46" s="176">
        <v>41</v>
      </c>
      <c r="F46" s="223">
        <f t="shared" si="93"/>
        <v>0.41</v>
      </c>
      <c r="G46" s="223">
        <f t="shared" si="90"/>
        <v>0.20499999999999999</v>
      </c>
      <c r="H46" s="223">
        <f t="shared" si="65"/>
        <v>2.0499999999999998</v>
      </c>
      <c r="I46" s="223">
        <f t="shared" si="94"/>
        <v>0.67649999999999988</v>
      </c>
      <c r="J46" s="559">
        <f t="shared" si="1"/>
        <v>24</v>
      </c>
      <c r="K46" s="454">
        <f t="shared" si="2"/>
        <v>15.899999999999999</v>
      </c>
      <c r="L46" s="454">
        <f t="shared" si="3"/>
        <v>39.9</v>
      </c>
      <c r="M46" s="454"/>
      <c r="N46" s="223">
        <f t="shared" si="4"/>
        <v>0.39849624060150374</v>
      </c>
      <c r="O46" s="178">
        <f t="shared" si="91"/>
        <v>4.8538639832664359</v>
      </c>
      <c r="P46" s="178">
        <f t="shared" si="66"/>
        <v>2.1303609022556387</v>
      </c>
      <c r="Q46" s="223">
        <f t="shared" si="6"/>
        <v>0.9707727966532872</v>
      </c>
      <c r="R46" s="223">
        <f t="shared" si="67"/>
        <v>1.4708678737171019</v>
      </c>
      <c r="S46" s="454">
        <f t="shared" si="68"/>
        <v>5</v>
      </c>
      <c r="T46" s="223">
        <f t="shared" si="69"/>
        <v>0.6335158979734451</v>
      </c>
      <c r="U46" s="223">
        <f t="shared" si="10"/>
        <v>0.79189487246680634</v>
      </c>
      <c r="V46" s="223">
        <f t="shared" si="11"/>
        <v>1.1953130150442361</v>
      </c>
      <c r="W46" s="203">
        <f t="shared" si="12"/>
        <v>350</v>
      </c>
      <c r="X46" s="454">
        <f t="shared" si="48"/>
        <v>350</v>
      </c>
      <c r="Z46" s="223">
        <f t="shared" si="13"/>
        <v>0.91084854994629427</v>
      </c>
      <c r="AA46" s="179">
        <f t="shared" si="14"/>
        <v>1.7185821697099894</v>
      </c>
      <c r="AB46" s="179">
        <f t="shared" si="70"/>
        <v>0.82181824055304764</v>
      </c>
      <c r="AC46" s="179"/>
      <c r="AD46" s="179">
        <f t="shared" si="16"/>
        <v>0.5660377358490567</v>
      </c>
      <c r="AE46" s="563">
        <f t="shared" si="71"/>
        <v>1609.6296296296291</v>
      </c>
      <c r="AF46" s="546">
        <f t="shared" si="72"/>
        <v>8.9150943396226423E-2</v>
      </c>
      <c r="AH46" s="179">
        <f t="shared" si="73"/>
        <v>0.7206478566771245</v>
      </c>
      <c r="AI46" s="179">
        <f t="shared" si="74"/>
        <v>0.7206478566771245</v>
      </c>
      <c r="AJ46" s="179">
        <f t="shared" si="75"/>
        <v>1.5115910049460182</v>
      </c>
      <c r="AL46" s="563">
        <f t="shared" si="76"/>
        <v>410</v>
      </c>
      <c r="AM46" s="472">
        <f t="shared" si="77"/>
        <v>350</v>
      </c>
      <c r="AO46">
        <f t="shared" si="49"/>
        <v>410</v>
      </c>
      <c r="AP46" s="472">
        <f t="shared" si="24"/>
        <v>350</v>
      </c>
      <c r="AQ46" s="472"/>
      <c r="AR46" s="6">
        <f t="shared" si="50"/>
        <v>2.8571428571428572</v>
      </c>
      <c r="AS46" s="6">
        <f t="shared" si="25"/>
        <v>0.90080982084640571</v>
      </c>
      <c r="AT46" s="6">
        <f t="shared" si="51"/>
        <v>1.9563330362964515</v>
      </c>
      <c r="AU46" s="179">
        <f t="shared" si="52"/>
        <v>0.31528343729624198</v>
      </c>
      <c r="AW46" s="6">
        <f t="shared" si="78"/>
        <v>7.3866405309405261</v>
      </c>
      <c r="AX46" s="6">
        <f t="shared" si="79"/>
        <v>5.5959397961670652</v>
      </c>
      <c r="AY46" s="6">
        <f t="shared" si="28"/>
        <v>0.154725413750298</v>
      </c>
      <c r="AZ46" s="6"/>
      <c r="BA46" s="179">
        <f t="shared" si="53"/>
        <v>0.23362163030268146</v>
      </c>
      <c r="BB46" s="179">
        <f t="shared" si="80"/>
        <v>1.0328544934754631</v>
      </c>
      <c r="BC46" s="179">
        <f t="shared" si="81"/>
        <v>0.50179514141349568</v>
      </c>
      <c r="BD46" s="179"/>
      <c r="BE46" s="546">
        <f t="shared" si="31"/>
        <v>1.9102673150848969E-2</v>
      </c>
      <c r="BF46" s="546">
        <f t="shared" si="32"/>
        <v>7.5478854888720318E-2</v>
      </c>
      <c r="BG46" s="546">
        <f t="shared" si="33"/>
        <v>4.3749999999999995E-3</v>
      </c>
      <c r="BH46" s="546">
        <f t="shared" si="34"/>
        <v>2.7860175000000001E-2</v>
      </c>
      <c r="BI46">
        <f t="shared" si="35"/>
        <v>6.96E-3</v>
      </c>
      <c r="BJ46">
        <f t="shared" si="82"/>
        <v>0.13726412562841447</v>
      </c>
      <c r="BK46" s="472">
        <f t="shared" si="54"/>
        <v>137.26412562841446</v>
      </c>
      <c r="BL46" s="179">
        <f t="shared" si="83"/>
        <v>0.15908</v>
      </c>
      <c r="BM46" s="179">
        <f t="shared" si="84"/>
        <v>7.954E-2</v>
      </c>
      <c r="BN46" s="546"/>
      <c r="BP46" s="472">
        <f t="shared" si="55"/>
        <v>238.62</v>
      </c>
      <c r="BQ46" s="546">
        <f t="shared" si="39"/>
        <v>1.0915813229056555E-2</v>
      </c>
      <c r="BR46" s="546">
        <f t="shared" si="56"/>
        <v>4.2671536187698214E-2</v>
      </c>
      <c r="BS46" s="546">
        <f t="shared" si="85"/>
        <v>2.5179836394619015E-2</v>
      </c>
      <c r="BT46" s="546">
        <f t="shared" si="41"/>
        <v>5.0518199482401271E-2</v>
      </c>
      <c r="BU46" s="546">
        <f t="shared" si="86"/>
        <v>0.13961722808288984</v>
      </c>
      <c r="BV46" s="655">
        <f t="shared" si="87"/>
        <v>1.8176666666666671E-2</v>
      </c>
      <c r="BW46" s="472">
        <f t="shared" si="57"/>
        <v>157.79389474955653</v>
      </c>
      <c r="BX46" s="179">
        <f t="shared" si="58"/>
        <v>0.53367802037797096</v>
      </c>
      <c r="BY46" s="6">
        <f t="shared" si="59"/>
        <v>2.7264999999999997</v>
      </c>
      <c r="BZ46" s="179">
        <f t="shared" si="60"/>
        <v>0.8363040247979775</v>
      </c>
      <c r="CA46" s="6">
        <f t="shared" si="61"/>
        <v>83.630402479797752</v>
      </c>
      <c r="CB46">
        <f t="shared" si="92"/>
        <v>41</v>
      </c>
      <c r="CD46" s="581">
        <f t="shared" si="88"/>
        <v>-50</v>
      </c>
      <c r="CE46">
        <f t="shared" si="89"/>
        <v>-50</v>
      </c>
    </row>
    <row r="47" spans="5:83" x14ac:dyDescent="0.2">
      <c r="E47" s="176">
        <v>42</v>
      </c>
      <c r="F47" s="223">
        <f t="shared" si="93"/>
        <v>0.42</v>
      </c>
      <c r="G47" s="223">
        <f t="shared" si="90"/>
        <v>0.21</v>
      </c>
      <c r="H47" s="223">
        <f t="shared" si="65"/>
        <v>2.1</v>
      </c>
      <c r="I47" s="223">
        <f t="shared" si="94"/>
        <v>0.69299999999999995</v>
      </c>
      <c r="J47" s="559">
        <f t="shared" si="1"/>
        <v>24</v>
      </c>
      <c r="K47" s="454">
        <f t="shared" si="2"/>
        <v>15.899999999999999</v>
      </c>
      <c r="L47" s="454">
        <f t="shared" si="3"/>
        <v>39.9</v>
      </c>
      <c r="M47" s="454"/>
      <c r="N47" s="223">
        <f t="shared" si="4"/>
        <v>0.39849624060150374</v>
      </c>
      <c r="O47" s="178">
        <f t="shared" si="91"/>
        <v>4.8538639832664359</v>
      </c>
      <c r="P47" s="178">
        <f t="shared" si="66"/>
        <v>2.1303609022556387</v>
      </c>
      <c r="Q47" s="223">
        <f t="shared" si="6"/>
        <v>0.9707727966532872</v>
      </c>
      <c r="R47" s="223">
        <f t="shared" si="67"/>
        <v>1.4708678737171019</v>
      </c>
      <c r="S47" s="454">
        <f t="shared" si="68"/>
        <v>5</v>
      </c>
      <c r="T47" s="223">
        <f t="shared" si="69"/>
        <v>0.64896750524109015</v>
      </c>
      <c r="U47" s="223">
        <f t="shared" si="10"/>
        <v>0.81120938155136268</v>
      </c>
      <c r="V47" s="223">
        <f t="shared" si="11"/>
        <v>1.2244669910209249</v>
      </c>
      <c r="W47" s="203">
        <f t="shared" si="12"/>
        <v>350</v>
      </c>
      <c r="X47" s="454">
        <f t="shared" si="48"/>
        <v>350</v>
      </c>
      <c r="Z47" s="223">
        <f t="shared" si="13"/>
        <v>0.91084854994629427</v>
      </c>
      <c r="AA47" s="179">
        <f t="shared" si="14"/>
        <v>1.7185821697099894</v>
      </c>
      <c r="AB47" s="179">
        <f t="shared" si="70"/>
        <v>0.82181824055304764</v>
      </c>
      <c r="AC47" s="179"/>
      <c r="AD47" s="179">
        <f t="shared" si="16"/>
        <v>0.5660377358490567</v>
      </c>
      <c r="AE47" s="563">
        <f t="shared" si="71"/>
        <v>1648.8888888888882</v>
      </c>
      <c r="AF47" s="546">
        <f t="shared" si="72"/>
        <v>8.9150943396226423E-2</v>
      </c>
      <c r="AH47" s="179">
        <f t="shared" si="73"/>
        <v>0.72938330115241878</v>
      </c>
      <c r="AI47" s="179">
        <f t="shared" si="74"/>
        <v>0.72938330115241878</v>
      </c>
      <c r="AJ47" s="179">
        <f t="shared" si="75"/>
        <v>1.5180617045573472</v>
      </c>
      <c r="AL47" s="563">
        <f t="shared" si="76"/>
        <v>420</v>
      </c>
      <c r="AM47" s="472">
        <f t="shared" si="77"/>
        <v>350</v>
      </c>
      <c r="AO47">
        <f t="shared" si="49"/>
        <v>420</v>
      </c>
      <c r="AP47" s="472">
        <f t="shared" si="24"/>
        <v>350</v>
      </c>
      <c r="AQ47" s="472"/>
      <c r="AR47" s="6">
        <f t="shared" si="50"/>
        <v>2.8571428571428572</v>
      </c>
      <c r="AS47" s="6">
        <f t="shared" si="25"/>
        <v>0.91172912644052362</v>
      </c>
      <c r="AT47" s="6">
        <f t="shared" si="51"/>
        <v>1.9454137307023336</v>
      </c>
      <c r="AU47" s="179">
        <f t="shared" si="52"/>
        <v>0.31910519425418327</v>
      </c>
      <c r="AW47" s="6">
        <f t="shared" si="78"/>
        <v>7.6585246621003975</v>
      </c>
      <c r="AX47" s="6">
        <f t="shared" si="79"/>
        <v>5.8019126228033313</v>
      </c>
      <c r="AY47" s="6">
        <f t="shared" si="28"/>
        <v>0.15761453836708719</v>
      </c>
      <c r="AZ47" s="6"/>
      <c r="BA47" s="179">
        <f t="shared" si="53"/>
        <v>0.23788229816670928</v>
      </c>
      <c r="BB47" s="179">
        <f t="shared" si="80"/>
        <v>1.0424529293787435</v>
      </c>
      <c r="BC47" s="179">
        <f t="shared" si="81"/>
        <v>0.5064583815231728</v>
      </c>
      <c r="BD47" s="179"/>
      <c r="BE47" s="546">
        <f t="shared" si="31"/>
        <v>1.9805795723376311E-2</v>
      </c>
      <c r="BF47" s="546">
        <f t="shared" si="32"/>
        <v>7.639378350445146E-2</v>
      </c>
      <c r="BG47" s="546">
        <f t="shared" si="33"/>
        <v>4.3749999999999995E-3</v>
      </c>
      <c r="BH47" s="546">
        <f t="shared" si="34"/>
        <v>2.7860175000000001E-2</v>
      </c>
      <c r="BI47">
        <f t="shared" si="35"/>
        <v>6.96E-3</v>
      </c>
      <c r="BJ47">
        <f t="shared" si="82"/>
        <v>0.1390226082466062</v>
      </c>
      <c r="BK47" s="472">
        <f t="shared" si="54"/>
        <v>139.02260824660621</v>
      </c>
      <c r="BL47" s="179">
        <f t="shared" si="83"/>
        <v>0.16295999999999999</v>
      </c>
      <c r="BM47" s="179">
        <f t="shared" si="84"/>
        <v>8.1479999999999997E-2</v>
      </c>
      <c r="BN47" s="546"/>
      <c r="BP47" s="472">
        <f t="shared" si="55"/>
        <v>244.44</v>
      </c>
      <c r="BQ47" s="546">
        <f t="shared" si="39"/>
        <v>1.1317597556215036E-2</v>
      </c>
      <c r="BR47" s="546">
        <f t="shared" si="56"/>
        <v>4.3468324398812944E-2</v>
      </c>
      <c r="BS47" s="546">
        <f t="shared" si="85"/>
        <v>2.5650009221507165E-2</v>
      </c>
      <c r="BT47" s="546">
        <f t="shared" si="41"/>
        <v>5.2063055858392548E-2</v>
      </c>
      <c r="BU47" s="546">
        <f t="shared" si="86"/>
        <v>0.14307194881033602</v>
      </c>
      <c r="BV47" s="655">
        <f t="shared" si="87"/>
        <v>1.8620000000000001E-2</v>
      </c>
      <c r="BW47" s="472">
        <f t="shared" si="57"/>
        <v>161.69194881033602</v>
      </c>
      <c r="BX47" s="179">
        <f t="shared" si="58"/>
        <v>0.54515455705694216</v>
      </c>
      <c r="BY47" s="6">
        <f t="shared" si="59"/>
        <v>2.7930000000000001</v>
      </c>
      <c r="BZ47" s="179">
        <f t="shared" si="60"/>
        <v>0.83668983932919716</v>
      </c>
      <c r="CA47" s="6">
        <f t="shared" si="61"/>
        <v>83.668983932919716</v>
      </c>
      <c r="CB47">
        <f t="shared" si="92"/>
        <v>42</v>
      </c>
      <c r="CD47" s="581">
        <f t="shared" si="88"/>
        <v>-50</v>
      </c>
      <c r="CE47">
        <f t="shared" si="89"/>
        <v>-50</v>
      </c>
    </row>
    <row r="48" spans="5:83" x14ac:dyDescent="0.2">
      <c r="E48" s="176">
        <v>43</v>
      </c>
      <c r="F48" s="223">
        <f t="shared" si="93"/>
        <v>0.43</v>
      </c>
      <c r="G48" s="223">
        <f t="shared" si="90"/>
        <v>0.215</v>
      </c>
      <c r="H48" s="223">
        <f t="shared" si="65"/>
        <v>2.15</v>
      </c>
      <c r="I48" s="223">
        <f t="shared" si="94"/>
        <v>0.70949999999999991</v>
      </c>
      <c r="J48" s="559">
        <f t="shared" si="1"/>
        <v>24</v>
      </c>
      <c r="K48" s="454">
        <f t="shared" si="2"/>
        <v>15.899999999999999</v>
      </c>
      <c r="L48" s="454">
        <f t="shared" si="3"/>
        <v>39.9</v>
      </c>
      <c r="M48" s="454"/>
      <c r="N48" s="223">
        <f t="shared" si="4"/>
        <v>0.39849624060150374</v>
      </c>
      <c r="O48" s="178">
        <f t="shared" si="91"/>
        <v>4.8538639832664359</v>
      </c>
      <c r="P48" s="178">
        <f t="shared" si="66"/>
        <v>2.1303609022556387</v>
      </c>
      <c r="Q48" s="223">
        <f t="shared" si="6"/>
        <v>0.9707727966532872</v>
      </c>
      <c r="R48" s="223">
        <f t="shared" si="67"/>
        <v>1.4708678737171019</v>
      </c>
      <c r="S48" s="454">
        <f t="shared" si="68"/>
        <v>5</v>
      </c>
      <c r="T48" s="223">
        <f t="shared" si="69"/>
        <v>0.66441911250873509</v>
      </c>
      <c r="U48" s="223">
        <f t="shared" si="10"/>
        <v>0.8305238906359188</v>
      </c>
      <c r="V48" s="223">
        <f t="shared" si="11"/>
        <v>1.2536209669976135</v>
      </c>
      <c r="W48" s="203">
        <f t="shared" si="12"/>
        <v>350</v>
      </c>
      <c r="X48" s="454">
        <f t="shared" si="48"/>
        <v>350</v>
      </c>
      <c r="Z48" s="223">
        <f t="shared" si="13"/>
        <v>0.91084854994629427</v>
      </c>
      <c r="AA48" s="179">
        <f t="shared" si="14"/>
        <v>1.7185821697099894</v>
      </c>
      <c r="AB48" s="179">
        <f t="shared" si="70"/>
        <v>0.82181824055304764</v>
      </c>
      <c r="AC48" s="179"/>
      <c r="AD48" s="179">
        <f t="shared" si="16"/>
        <v>0.5660377358490567</v>
      </c>
      <c r="AE48" s="563">
        <f t="shared" si="71"/>
        <v>1688.1481481481478</v>
      </c>
      <c r="AF48" s="546">
        <f t="shared" si="72"/>
        <v>8.9150943396226423E-2</v>
      </c>
      <c r="AH48" s="179">
        <f t="shared" si="73"/>
        <v>0.73801535666046048</v>
      </c>
      <c r="AI48" s="179">
        <f t="shared" si="74"/>
        <v>0.73801535666046048</v>
      </c>
      <c r="AJ48" s="179">
        <f t="shared" si="75"/>
        <v>1.5244558197484892</v>
      </c>
      <c r="AL48" s="563">
        <f t="shared" si="76"/>
        <v>430</v>
      </c>
      <c r="AM48" s="472">
        <f t="shared" si="77"/>
        <v>350</v>
      </c>
      <c r="AO48">
        <f t="shared" si="49"/>
        <v>430</v>
      </c>
      <c r="AP48" s="472">
        <f t="shared" si="24"/>
        <v>350</v>
      </c>
      <c r="AQ48" s="472"/>
      <c r="AR48" s="6">
        <f t="shared" si="50"/>
        <v>2.8571428571428572</v>
      </c>
      <c r="AS48" s="6">
        <f t="shared" si="25"/>
        <v>0.92251919582557573</v>
      </c>
      <c r="AT48" s="6">
        <f t="shared" si="51"/>
        <v>1.9346236613172816</v>
      </c>
      <c r="AU48" s="179">
        <f t="shared" si="52"/>
        <v>0.32288171853895148</v>
      </c>
      <c r="AW48" s="6">
        <f t="shared" si="78"/>
        <v>7.9336650840999505</v>
      </c>
      <c r="AX48" s="6">
        <f t="shared" si="79"/>
        <v>6.0103523364393574</v>
      </c>
      <c r="AY48" s="6">
        <f t="shared" si="28"/>
        <v>0.16047225585772201</v>
      </c>
      <c r="AZ48" s="6"/>
      <c r="BA48" s="179">
        <f t="shared" si="53"/>
        <v>0.24211767756211411</v>
      </c>
      <c r="BB48" s="179">
        <f t="shared" si="80"/>
        <v>1.051860861477103</v>
      </c>
      <c r="BC48" s="179">
        <f t="shared" si="81"/>
        <v>0.51102906853429253</v>
      </c>
      <c r="BD48" s="179"/>
      <c r="BE48" s="546">
        <f t="shared" si="31"/>
        <v>2.0517339425825148E-2</v>
      </c>
      <c r="BF48" s="546">
        <f t="shared" si="32"/>
        <v>7.7297883418224952E-2</v>
      </c>
      <c r="BG48" s="546">
        <f t="shared" si="33"/>
        <v>4.3749999999999995E-3</v>
      </c>
      <c r="BH48" s="546">
        <f t="shared" si="34"/>
        <v>2.7860175000000001E-2</v>
      </c>
      <c r="BI48">
        <f t="shared" si="35"/>
        <v>6.96E-3</v>
      </c>
      <c r="BJ48">
        <f t="shared" si="82"/>
        <v>0.14078108775655199</v>
      </c>
      <c r="BK48" s="472">
        <f t="shared" si="54"/>
        <v>140.78108775655198</v>
      </c>
      <c r="BL48" s="179">
        <f t="shared" si="83"/>
        <v>0.16684000000000002</v>
      </c>
      <c r="BM48" s="179">
        <f t="shared" si="84"/>
        <v>8.3420000000000008E-2</v>
      </c>
      <c r="BN48" s="546"/>
      <c r="BP48" s="472">
        <f t="shared" si="55"/>
        <v>250.26000000000005</v>
      </c>
      <c r="BQ48" s="546">
        <f t="shared" si="39"/>
        <v>1.1724193957614371E-2</v>
      </c>
      <c r="BR48" s="546">
        <f t="shared" si="56"/>
        <v>4.4256450876294137E-2</v>
      </c>
      <c r="BS48" s="546">
        <f t="shared" si="85"/>
        <v>2.6115070888702664E-2</v>
      </c>
      <c r="BT48" s="546">
        <f t="shared" si="41"/>
        <v>5.3617135995120017E-2</v>
      </c>
      <c r="BU48" s="546">
        <f t="shared" si="86"/>
        <v>0.14652667458222712</v>
      </c>
      <c r="BV48" s="655">
        <f t="shared" si="87"/>
        <v>1.9063333333333331E-2</v>
      </c>
      <c r="BW48" s="472">
        <f t="shared" si="57"/>
        <v>165.59000791556045</v>
      </c>
      <c r="BX48" s="179">
        <f t="shared" si="58"/>
        <v>0.55663109567211244</v>
      </c>
      <c r="BY48" s="6">
        <f t="shared" si="59"/>
        <v>2.8594999999999997</v>
      </c>
      <c r="BZ48" s="179">
        <f t="shared" si="60"/>
        <v>0.83705804019719654</v>
      </c>
      <c r="CA48" s="6">
        <f t="shared" si="61"/>
        <v>83.70580401971965</v>
      </c>
      <c r="CB48">
        <f t="shared" si="92"/>
        <v>43</v>
      </c>
      <c r="CD48" s="581">
        <f t="shared" si="88"/>
        <v>-50</v>
      </c>
      <c r="CE48">
        <f t="shared" si="89"/>
        <v>-50</v>
      </c>
    </row>
    <row r="49" spans="5:83" x14ac:dyDescent="0.2">
      <c r="E49" s="176">
        <v>44</v>
      </c>
      <c r="F49" s="223">
        <f t="shared" si="93"/>
        <v>0.44</v>
      </c>
      <c r="G49" s="223">
        <f t="shared" si="90"/>
        <v>0.22</v>
      </c>
      <c r="H49" s="223">
        <f t="shared" si="65"/>
        <v>2.2000000000000002</v>
      </c>
      <c r="I49" s="223">
        <f t="shared" si="94"/>
        <v>0.72599999999999998</v>
      </c>
      <c r="J49" s="559">
        <f t="shared" si="1"/>
        <v>24</v>
      </c>
      <c r="K49" s="454">
        <f t="shared" si="2"/>
        <v>15.899999999999999</v>
      </c>
      <c r="L49" s="454">
        <f t="shared" si="3"/>
        <v>39.9</v>
      </c>
      <c r="M49" s="454"/>
      <c r="N49" s="223">
        <f t="shared" si="4"/>
        <v>0.39849624060150374</v>
      </c>
      <c r="O49" s="178">
        <f t="shared" si="91"/>
        <v>4.8538639832664359</v>
      </c>
      <c r="P49" s="178">
        <f t="shared" si="66"/>
        <v>2.1303609022556387</v>
      </c>
      <c r="Q49" s="223">
        <f t="shared" si="6"/>
        <v>0.9707727966532872</v>
      </c>
      <c r="R49" s="223">
        <f t="shared" si="67"/>
        <v>1.4708678737171019</v>
      </c>
      <c r="S49" s="454">
        <f t="shared" si="68"/>
        <v>5</v>
      </c>
      <c r="T49" s="223">
        <f t="shared" si="69"/>
        <v>0.67987071977638014</v>
      </c>
      <c r="U49" s="223">
        <f t="shared" si="10"/>
        <v>0.84983839972047515</v>
      </c>
      <c r="V49" s="223">
        <f t="shared" si="11"/>
        <v>1.2827749429743021</v>
      </c>
      <c r="W49" s="203">
        <f t="shared" si="12"/>
        <v>350</v>
      </c>
      <c r="X49" s="454">
        <f t="shared" si="48"/>
        <v>350</v>
      </c>
      <c r="Z49" s="223">
        <f t="shared" si="13"/>
        <v>0.91084854994629427</v>
      </c>
      <c r="AA49" s="179">
        <f t="shared" si="14"/>
        <v>1.7185821697099894</v>
      </c>
      <c r="AB49" s="179">
        <f t="shared" si="70"/>
        <v>0.82181824055304764</v>
      </c>
      <c r="AC49" s="179"/>
      <c r="AD49" s="179">
        <f t="shared" si="16"/>
        <v>0.5660377358490567</v>
      </c>
      <c r="AE49" s="563">
        <f t="shared" si="71"/>
        <v>1727.4074074074074</v>
      </c>
      <c r="AF49" s="546">
        <f t="shared" si="72"/>
        <v>8.9150943396226423E-2</v>
      </c>
      <c r="AH49" s="179">
        <f t="shared" si="73"/>
        <v>0.74654760955570232</v>
      </c>
      <c r="AI49" s="179">
        <f t="shared" si="74"/>
        <v>0.74654760955570232</v>
      </c>
      <c r="AJ49" s="179">
        <f t="shared" si="75"/>
        <v>1.5307760070782979</v>
      </c>
      <c r="AL49" s="563">
        <f t="shared" si="76"/>
        <v>440</v>
      </c>
      <c r="AM49" s="472">
        <f t="shared" si="77"/>
        <v>350</v>
      </c>
      <c r="AO49">
        <f t="shared" si="49"/>
        <v>440</v>
      </c>
      <c r="AP49" s="472">
        <f t="shared" si="24"/>
        <v>350</v>
      </c>
      <c r="AQ49" s="472"/>
      <c r="AR49" s="6">
        <f t="shared" si="50"/>
        <v>2.8571428571428572</v>
      </c>
      <c r="AS49" s="6">
        <f t="shared" si="25"/>
        <v>0.93318451194462781</v>
      </c>
      <c r="AT49" s="6">
        <f t="shared" si="51"/>
        <v>1.9239583451982294</v>
      </c>
      <c r="AU49" s="179">
        <f t="shared" si="52"/>
        <v>0.3266145791806197</v>
      </c>
      <c r="AW49" s="6">
        <f t="shared" si="78"/>
        <v>8.2120237051127241</v>
      </c>
      <c r="AX49" s="6">
        <f t="shared" si="79"/>
        <v>6.2212300796308515</v>
      </c>
      <c r="AY49" s="6">
        <f t="shared" si="28"/>
        <v>0.16329893362022008</v>
      </c>
      <c r="AZ49" s="6"/>
      <c r="BA49" s="179">
        <f t="shared" si="53"/>
        <v>0.24632850161927988</v>
      </c>
      <c r="BB49" s="179">
        <f t="shared" si="80"/>
        <v>1.061084550641467</v>
      </c>
      <c r="BC49" s="179">
        <f t="shared" si="81"/>
        <v>0.51551024418664604</v>
      </c>
      <c r="BD49" s="179"/>
      <c r="BE49" s="546">
        <f t="shared" si="31"/>
        <v>2.1237205748499847E-2</v>
      </c>
      <c r="BF49" s="546">
        <f t="shared" si="32"/>
        <v>7.8191530255840358E-2</v>
      </c>
      <c r="BG49" s="546">
        <f t="shared" si="33"/>
        <v>4.3749999999999995E-3</v>
      </c>
      <c r="BH49" s="546">
        <f t="shared" si="34"/>
        <v>2.7860175000000001E-2</v>
      </c>
      <c r="BI49">
        <f t="shared" si="35"/>
        <v>6.96E-3</v>
      </c>
      <c r="BJ49">
        <f t="shared" si="82"/>
        <v>0.14253984053494453</v>
      </c>
      <c r="BK49" s="472">
        <f t="shared" si="54"/>
        <v>142.53984053494455</v>
      </c>
      <c r="BL49" s="179">
        <f t="shared" si="83"/>
        <v>0.17072000000000001</v>
      </c>
      <c r="BM49" s="179">
        <f t="shared" si="84"/>
        <v>8.5360000000000005E-2</v>
      </c>
      <c r="BN49" s="546"/>
      <c r="BP49" s="472">
        <f t="shared" si="55"/>
        <v>256.08000000000004</v>
      </c>
      <c r="BQ49" s="546">
        <f t="shared" si="39"/>
        <v>1.2135546141999916E-2</v>
      </c>
      <c r="BR49" s="546">
        <f t="shared" si="56"/>
        <v>4.5036016944400153E-2</v>
      </c>
      <c r="BS49" s="546">
        <f t="shared" si="85"/>
        <v>2.6575081186137547E-2</v>
      </c>
      <c r="BT49" s="546">
        <f t="shared" si="41"/>
        <v>5.5180278514931486E-2</v>
      </c>
      <c r="BU49" s="546">
        <f t="shared" si="86"/>
        <v>0.14998135491437581</v>
      </c>
      <c r="BV49" s="655">
        <f t="shared" si="87"/>
        <v>1.9506666666666672E-2</v>
      </c>
      <c r="BW49" s="472">
        <f t="shared" si="57"/>
        <v>169.48802158104249</v>
      </c>
      <c r="BX49" s="179">
        <f t="shared" si="58"/>
        <v>0.56810786211598707</v>
      </c>
      <c r="BY49" s="6">
        <f t="shared" si="59"/>
        <v>2.9260000000000002</v>
      </c>
      <c r="BZ49" s="179">
        <f t="shared" si="60"/>
        <v>0.83740975249345961</v>
      </c>
      <c r="CA49" s="6">
        <f t="shared" si="61"/>
        <v>83.740975249345965</v>
      </c>
      <c r="CB49">
        <f t="shared" si="92"/>
        <v>44</v>
      </c>
      <c r="CD49" s="581">
        <f t="shared" si="88"/>
        <v>-50</v>
      </c>
      <c r="CE49">
        <f t="shared" si="89"/>
        <v>-50</v>
      </c>
    </row>
    <row r="50" spans="5:83" x14ac:dyDescent="0.2">
      <c r="E50" s="176">
        <v>45</v>
      </c>
      <c r="F50" s="223">
        <f t="shared" si="93"/>
        <v>0.45</v>
      </c>
      <c r="G50" s="223">
        <f t="shared" si="90"/>
        <v>0.22500000000000001</v>
      </c>
      <c r="H50" s="223">
        <f t="shared" si="65"/>
        <v>2.25</v>
      </c>
      <c r="I50" s="223">
        <f t="shared" si="94"/>
        <v>0.74249999999999994</v>
      </c>
      <c r="J50" s="559">
        <f t="shared" si="1"/>
        <v>24</v>
      </c>
      <c r="K50" s="454">
        <f t="shared" si="2"/>
        <v>15.899999999999999</v>
      </c>
      <c r="L50" s="454">
        <f t="shared" si="3"/>
        <v>39.9</v>
      </c>
      <c r="M50" s="454"/>
      <c r="N50" s="223">
        <f t="shared" si="4"/>
        <v>0.39849624060150374</v>
      </c>
      <c r="O50" s="178">
        <f t="shared" si="91"/>
        <v>4.8538639832664359</v>
      </c>
      <c r="P50" s="178">
        <f t="shared" si="66"/>
        <v>2.1303609022556387</v>
      </c>
      <c r="Q50" s="223">
        <f t="shared" si="6"/>
        <v>0.9707727966532872</v>
      </c>
      <c r="R50" s="223">
        <f t="shared" si="67"/>
        <v>1.4708678737171019</v>
      </c>
      <c r="S50" s="454">
        <f t="shared" si="68"/>
        <v>5</v>
      </c>
      <c r="T50" s="223">
        <f t="shared" si="69"/>
        <v>0.69532232704402508</v>
      </c>
      <c r="U50" s="223">
        <f t="shared" si="10"/>
        <v>0.86915290880503138</v>
      </c>
      <c r="V50" s="223">
        <f t="shared" si="11"/>
        <v>1.3119289189509908</v>
      </c>
      <c r="W50" s="203">
        <f t="shared" si="12"/>
        <v>350</v>
      </c>
      <c r="X50" s="454">
        <f t="shared" si="48"/>
        <v>350</v>
      </c>
      <c r="Z50" s="223">
        <f t="shared" si="13"/>
        <v>0.91084854994629427</v>
      </c>
      <c r="AA50" s="179">
        <f t="shared" si="14"/>
        <v>1.7185821697099894</v>
      </c>
      <c r="AB50" s="179">
        <f t="shared" si="70"/>
        <v>0.82181824055304764</v>
      </c>
      <c r="AC50" s="179"/>
      <c r="AD50" s="179">
        <f t="shared" si="16"/>
        <v>0.5660377358490567</v>
      </c>
      <c r="AE50" s="563">
        <f t="shared" si="71"/>
        <v>1766.6666666666665</v>
      </c>
      <c r="AF50" s="546">
        <f t="shared" si="72"/>
        <v>8.9150943396226423E-2</v>
      </c>
      <c r="AH50" s="179">
        <f t="shared" si="73"/>
        <v>0.75498344352707492</v>
      </c>
      <c r="AI50" s="179">
        <f t="shared" si="74"/>
        <v>0.75498344352707492</v>
      </c>
      <c r="AJ50" s="179">
        <f t="shared" si="75"/>
        <v>1.5370247729830184</v>
      </c>
      <c r="AL50" s="563">
        <f t="shared" si="76"/>
        <v>450</v>
      </c>
      <c r="AM50" s="472">
        <f t="shared" si="77"/>
        <v>350</v>
      </c>
      <c r="AO50">
        <f t="shared" si="49"/>
        <v>450</v>
      </c>
      <c r="AP50" s="472">
        <f t="shared" si="24"/>
        <v>350</v>
      </c>
      <c r="AQ50" s="472"/>
      <c r="AR50" s="6">
        <f t="shared" si="50"/>
        <v>2.8571428571428572</v>
      </c>
      <c r="AS50" s="6">
        <f t="shared" si="25"/>
        <v>0.94372930440884373</v>
      </c>
      <c r="AT50" s="6">
        <f t="shared" si="51"/>
        <v>1.9134135527340135</v>
      </c>
      <c r="AU50" s="179">
        <f t="shared" si="52"/>
        <v>0.33030525654309528</v>
      </c>
      <c r="AW50" s="6">
        <f t="shared" si="78"/>
        <v>8.493563739679594</v>
      </c>
      <c r="AX50" s="6">
        <f t="shared" si="79"/>
        <v>6.434517984605753</v>
      </c>
      <c r="AY50" s="6">
        <f t="shared" si="28"/>
        <v>0.16609492645260532</v>
      </c>
      <c r="AZ50" s="6"/>
      <c r="BA50" s="179">
        <f t="shared" si="53"/>
        <v>0.25051546607582553</v>
      </c>
      <c r="BB50" s="179">
        <f t="shared" si="80"/>
        <v>1.0701299039421837</v>
      </c>
      <c r="BC50" s="179">
        <f t="shared" si="81"/>
        <v>0.51990477833191073</v>
      </c>
      <c r="BD50" s="179"/>
      <c r="BE50" s="546">
        <f t="shared" si="31"/>
        <v>2.1965299560115829E-2</v>
      </c>
      <c r="BF50" s="546">
        <f t="shared" si="32"/>
        <v>7.9075078416417005E-2</v>
      </c>
      <c r="BG50" s="546">
        <f t="shared" si="33"/>
        <v>4.3749999999999995E-3</v>
      </c>
      <c r="BH50" s="546">
        <f t="shared" si="34"/>
        <v>2.7860175000000001E-2</v>
      </c>
      <c r="BI50">
        <f t="shared" si="35"/>
        <v>6.96E-3</v>
      </c>
      <c r="BJ50">
        <f t="shared" si="82"/>
        <v>0.14429912564217257</v>
      </c>
      <c r="BK50" s="472">
        <f t="shared" si="54"/>
        <v>144.29912564217256</v>
      </c>
      <c r="BL50" s="179">
        <f t="shared" si="83"/>
        <v>0.17460000000000001</v>
      </c>
      <c r="BM50" s="179">
        <f t="shared" si="84"/>
        <v>8.7300000000000003E-2</v>
      </c>
      <c r="BN50" s="546"/>
      <c r="BP50" s="472">
        <f t="shared" si="55"/>
        <v>261.90000000000003</v>
      </c>
      <c r="BQ50" s="546">
        <f t="shared" si="39"/>
        <v>1.2551599748637619E-2</v>
      </c>
      <c r="BR50" s="546">
        <f t="shared" si="56"/>
        <v>4.5807120452452291E-2</v>
      </c>
      <c r="BS50" s="546">
        <f t="shared" si="85"/>
        <v>2.7030097853235326E-2</v>
      </c>
      <c r="BT50" s="546">
        <f t="shared" si="41"/>
        <v>5.6752328478650756E-2</v>
      </c>
      <c r="BU50" s="546">
        <f t="shared" si="86"/>
        <v>0.15343594179686193</v>
      </c>
      <c r="BV50" s="655">
        <f t="shared" si="87"/>
        <v>1.9949999999999999E-2</v>
      </c>
      <c r="BW50" s="472">
        <f t="shared" si="57"/>
        <v>173.38594179686191</v>
      </c>
      <c r="BX50" s="179">
        <f t="shared" si="58"/>
        <v>0.57958506743903448</v>
      </c>
      <c r="BY50" s="6">
        <f t="shared" si="59"/>
        <v>2.9924999999999997</v>
      </c>
      <c r="BZ50" s="179">
        <f t="shared" si="60"/>
        <v>0.83774600646491282</v>
      </c>
      <c r="CA50" s="6">
        <f t="shared" si="61"/>
        <v>83.77460064649128</v>
      </c>
      <c r="CB50">
        <f t="shared" si="92"/>
        <v>45</v>
      </c>
      <c r="CD50" s="581">
        <f t="shared" si="88"/>
        <v>-50</v>
      </c>
      <c r="CE50">
        <f t="shared" si="89"/>
        <v>-50</v>
      </c>
    </row>
    <row r="51" spans="5:83" x14ac:dyDescent="0.2">
      <c r="E51" s="176">
        <v>46</v>
      </c>
      <c r="F51" s="223">
        <f t="shared" si="93"/>
        <v>0.46</v>
      </c>
      <c r="G51" s="223">
        <f t="shared" si="90"/>
        <v>0.23</v>
      </c>
      <c r="H51" s="223">
        <f t="shared" si="65"/>
        <v>2.3000000000000003</v>
      </c>
      <c r="I51" s="223">
        <f t="shared" si="94"/>
        <v>0.75900000000000001</v>
      </c>
      <c r="J51" s="559">
        <f t="shared" si="1"/>
        <v>24</v>
      </c>
      <c r="K51" s="454">
        <f t="shared" si="2"/>
        <v>15.899999999999999</v>
      </c>
      <c r="L51" s="454">
        <f t="shared" si="3"/>
        <v>39.9</v>
      </c>
      <c r="M51" s="454"/>
      <c r="N51" s="223">
        <f t="shared" si="4"/>
        <v>0.39849624060150374</v>
      </c>
      <c r="O51" s="178">
        <f t="shared" si="91"/>
        <v>4.8538639832664359</v>
      </c>
      <c r="P51" s="178">
        <f t="shared" si="66"/>
        <v>2.1303609022556387</v>
      </c>
      <c r="Q51" s="223">
        <f t="shared" si="6"/>
        <v>0.9707727966532872</v>
      </c>
      <c r="R51" s="223">
        <f t="shared" si="67"/>
        <v>1.4708678737171019</v>
      </c>
      <c r="S51" s="454">
        <f t="shared" si="68"/>
        <v>5</v>
      </c>
      <c r="T51" s="223">
        <f t="shared" si="69"/>
        <v>0.71077393431167013</v>
      </c>
      <c r="U51" s="223">
        <f t="shared" si="10"/>
        <v>0.88846741788958772</v>
      </c>
      <c r="V51" s="223">
        <f t="shared" si="11"/>
        <v>1.3410828949276796</v>
      </c>
      <c r="W51" s="203">
        <f t="shared" si="12"/>
        <v>350</v>
      </c>
      <c r="X51" s="454">
        <f t="shared" si="48"/>
        <v>350</v>
      </c>
      <c r="Z51" s="223">
        <f t="shared" si="13"/>
        <v>0.91084854994629427</v>
      </c>
      <c r="AA51" s="179">
        <f t="shared" si="14"/>
        <v>1.7185821697099894</v>
      </c>
      <c r="AB51" s="179">
        <f t="shared" si="70"/>
        <v>0.82181824055304764</v>
      </c>
      <c r="AC51" s="179"/>
      <c r="AD51" s="179">
        <f t="shared" si="16"/>
        <v>0.5660377358490567</v>
      </c>
      <c r="AE51" s="563">
        <f t="shared" si="71"/>
        <v>1805.9259259259256</v>
      </c>
      <c r="AF51" s="546">
        <f t="shared" si="72"/>
        <v>8.9150943396226423E-2</v>
      </c>
      <c r="AH51" s="179">
        <f t="shared" si="73"/>
        <v>0.76332605527825836</v>
      </c>
      <c r="AI51" s="179">
        <f t="shared" si="74"/>
        <v>0.76332605527825836</v>
      </c>
      <c r="AJ51" s="179">
        <f t="shared" si="75"/>
        <v>1.5432044853913025</v>
      </c>
      <c r="AL51" s="563">
        <f t="shared" si="76"/>
        <v>460</v>
      </c>
      <c r="AM51" s="472">
        <f t="shared" si="77"/>
        <v>350</v>
      </c>
      <c r="AO51">
        <f t="shared" si="49"/>
        <v>460</v>
      </c>
      <c r="AP51" s="472">
        <f t="shared" si="24"/>
        <v>350</v>
      </c>
      <c r="AQ51" s="472"/>
      <c r="AR51" s="6">
        <f t="shared" si="50"/>
        <v>2.8571428571428572</v>
      </c>
      <c r="AS51" s="6">
        <f t="shared" si="25"/>
        <v>0.95415756909782301</v>
      </c>
      <c r="AT51" s="6">
        <f t="shared" si="51"/>
        <v>1.9029852880450342</v>
      </c>
      <c r="AU51" s="179">
        <f t="shared" si="52"/>
        <v>0.33395514918423802</v>
      </c>
      <c r="AW51" s="6">
        <f t="shared" si="78"/>
        <v>8.7782496356999715</v>
      </c>
      <c r="AX51" s="6">
        <f t="shared" si="79"/>
        <v>6.6501891179545236</v>
      </c>
      <c r="AY51" s="6">
        <f t="shared" si="28"/>
        <v>0.16886057725708251</v>
      </c>
      <c r="AZ51" s="6"/>
      <c r="BA51" s="179">
        <f t="shared" si="53"/>
        <v>0.25467923197056419</v>
      </c>
      <c r="BB51" s="179">
        <f t="shared" si="80"/>
        <v>1.0790025019553717</v>
      </c>
      <c r="BC51" s="179">
        <f t="shared" si="81"/>
        <v>0.52421538219998476</v>
      </c>
      <c r="BD51" s="179"/>
      <c r="BE51" s="546">
        <f t="shared" si="31"/>
        <v>2.2701528918990754E-2</v>
      </c>
      <c r="BF51" s="546">
        <f t="shared" si="32"/>
        <v>7.9948862714706581E-2</v>
      </c>
      <c r="BG51" s="546">
        <f t="shared" si="33"/>
        <v>4.3749999999999995E-3</v>
      </c>
      <c r="BH51" s="546">
        <f t="shared" si="34"/>
        <v>2.7860175000000001E-2</v>
      </c>
      <c r="BI51">
        <f t="shared" si="35"/>
        <v>6.96E-3</v>
      </c>
      <c r="BJ51">
        <f t="shared" si="82"/>
        <v>0.14605918624799191</v>
      </c>
      <c r="BK51" s="472">
        <f t="shared" si="54"/>
        <v>146.0591862479919</v>
      </c>
      <c r="BL51" s="179">
        <f t="shared" si="83"/>
        <v>0.17848000000000003</v>
      </c>
      <c r="BM51" s="179">
        <f t="shared" si="84"/>
        <v>8.9240000000000014E-2</v>
      </c>
      <c r="BN51" s="546"/>
      <c r="BP51" s="472">
        <f t="shared" si="55"/>
        <v>267.72000000000008</v>
      </c>
      <c r="BQ51" s="546">
        <f t="shared" si="39"/>
        <v>1.297230223942329E-2</v>
      </c>
      <c r="BR51" s="546">
        <f t="shared" si="56"/>
        <v>4.6569855969038079E-2</v>
      </c>
      <c r="BS51" s="546">
        <f t="shared" si="85"/>
        <v>2.7480176693507607E-2</v>
      </c>
      <c r="BT51" s="546">
        <f t="shared" si="41"/>
        <v>5.8333136990877089E-2</v>
      </c>
      <c r="BU51" s="546">
        <f t="shared" si="86"/>
        <v>0.15689038952267778</v>
      </c>
      <c r="BV51" s="655">
        <f t="shared" si="87"/>
        <v>2.039333333333334E-2</v>
      </c>
      <c r="BW51" s="472">
        <f t="shared" si="57"/>
        <v>177.28372285601114</v>
      </c>
      <c r="BX51" s="179">
        <f t="shared" si="58"/>
        <v>0.59106290910400305</v>
      </c>
      <c r="BY51" s="6">
        <f t="shared" si="59"/>
        <v>3.0590000000000002</v>
      </c>
      <c r="BZ51" s="179">
        <f t="shared" si="60"/>
        <v>0.83806774737230649</v>
      </c>
      <c r="CA51" s="6">
        <f t="shared" si="61"/>
        <v>83.806774737230654</v>
      </c>
      <c r="CB51">
        <f t="shared" si="92"/>
        <v>46</v>
      </c>
      <c r="CD51" s="581">
        <f t="shared" si="88"/>
        <v>-50</v>
      </c>
      <c r="CE51">
        <f t="shared" si="89"/>
        <v>-50</v>
      </c>
    </row>
    <row r="52" spans="5:83" x14ac:dyDescent="0.2">
      <c r="E52" s="176">
        <v>47</v>
      </c>
      <c r="F52" s="223">
        <f t="shared" si="93"/>
        <v>0.47</v>
      </c>
      <c r="G52" s="223">
        <f t="shared" si="90"/>
        <v>0.23499999999999999</v>
      </c>
      <c r="H52" s="223">
        <f t="shared" si="65"/>
        <v>2.3499999999999996</v>
      </c>
      <c r="I52" s="223">
        <f t="shared" si="94"/>
        <v>0.77549999999999997</v>
      </c>
      <c r="J52" s="559">
        <f t="shared" si="1"/>
        <v>24</v>
      </c>
      <c r="K52" s="454">
        <f t="shared" si="2"/>
        <v>15.899999999999999</v>
      </c>
      <c r="L52" s="454">
        <f t="shared" si="3"/>
        <v>39.9</v>
      </c>
      <c r="M52" s="454"/>
      <c r="N52" s="223">
        <f t="shared" si="4"/>
        <v>0.39849624060150374</v>
      </c>
      <c r="O52" s="178">
        <f t="shared" si="91"/>
        <v>4.8538639832664359</v>
      </c>
      <c r="P52" s="178">
        <f t="shared" si="66"/>
        <v>2.1303609022556387</v>
      </c>
      <c r="Q52" s="223">
        <f t="shared" si="6"/>
        <v>0.9707727966532872</v>
      </c>
      <c r="R52" s="223">
        <f t="shared" si="67"/>
        <v>1.4708678737171019</v>
      </c>
      <c r="S52" s="454">
        <f t="shared" si="68"/>
        <v>5</v>
      </c>
      <c r="T52" s="223">
        <f t="shared" si="69"/>
        <v>0.72622554157931507</v>
      </c>
      <c r="U52" s="223">
        <f t="shared" si="10"/>
        <v>0.90778192697414384</v>
      </c>
      <c r="V52" s="223">
        <f t="shared" si="11"/>
        <v>1.3702368709043682</v>
      </c>
      <c r="W52" s="203">
        <f t="shared" si="12"/>
        <v>350</v>
      </c>
      <c r="X52" s="454">
        <f t="shared" si="48"/>
        <v>350</v>
      </c>
      <c r="Z52" s="223">
        <f t="shared" si="13"/>
        <v>0.91084854994629427</v>
      </c>
      <c r="AA52" s="179">
        <f t="shared" si="14"/>
        <v>1.7185821697099894</v>
      </c>
      <c r="AB52" s="179">
        <f t="shared" si="70"/>
        <v>0.82181824055304764</v>
      </c>
      <c r="AC52" s="179"/>
      <c r="AD52" s="179">
        <f t="shared" si="16"/>
        <v>0.5660377358490567</v>
      </c>
      <c r="AE52" s="563">
        <f t="shared" si="71"/>
        <v>1845.1851851851848</v>
      </c>
      <c r="AF52" s="546">
        <f t="shared" si="72"/>
        <v>8.9150943396226423E-2</v>
      </c>
      <c r="AH52" s="179">
        <f t="shared" si="73"/>
        <v>0.77157846868178825</v>
      </c>
      <c r="AI52" s="179">
        <f t="shared" si="74"/>
        <v>0.77157846868178825</v>
      </c>
      <c r="AJ52" s="179">
        <f t="shared" si="75"/>
        <v>1.549317384208732</v>
      </c>
      <c r="AL52" s="563">
        <f t="shared" si="76"/>
        <v>470</v>
      </c>
      <c r="AM52" s="472">
        <f t="shared" si="77"/>
        <v>350</v>
      </c>
      <c r="AO52">
        <f t="shared" si="49"/>
        <v>470</v>
      </c>
      <c r="AP52" s="472">
        <f t="shared" si="24"/>
        <v>350</v>
      </c>
      <c r="AQ52" s="472"/>
      <c r="AR52" s="6">
        <f t="shared" si="50"/>
        <v>2.8571428571428572</v>
      </c>
      <c r="AS52" s="6">
        <f t="shared" si="25"/>
        <v>0.96447308585223535</v>
      </c>
      <c r="AT52" s="6">
        <f t="shared" si="51"/>
        <v>1.8926697712906217</v>
      </c>
      <c r="AU52" s="179">
        <f t="shared" si="52"/>
        <v>0.33756558004828235</v>
      </c>
      <c r="AW52" s="6">
        <f t="shared" si="78"/>
        <v>9.0660470070110115</v>
      </c>
      <c r="AX52" s="6">
        <f t="shared" si="79"/>
        <v>6.8682174295537974</v>
      </c>
      <c r="AY52" s="6">
        <f t="shared" si="28"/>
        <v>0.17159621769031483</v>
      </c>
      <c r="AZ52" s="6"/>
      <c r="BA52" s="179">
        <f t="shared" si="53"/>
        <v>0.25882042808914452</v>
      </c>
      <c r="BB52" s="179">
        <f t="shared" si="80"/>
        <v>1.0877076234143841</v>
      </c>
      <c r="BC52" s="179">
        <f t="shared" si="81"/>
        <v>0.52844462037548823</v>
      </c>
      <c r="BD52" s="179"/>
      <c r="BE52" s="546">
        <f t="shared" si="31"/>
        <v>2.344580489868681E-2</v>
      </c>
      <c r="BF52" s="546">
        <f t="shared" si="32"/>
        <v>8.0813199863558782E-2</v>
      </c>
      <c r="BG52" s="546">
        <f t="shared" si="33"/>
        <v>4.3749999999999995E-3</v>
      </c>
      <c r="BH52" s="546">
        <f t="shared" si="34"/>
        <v>2.7860175000000001E-2</v>
      </c>
      <c r="BI52">
        <f t="shared" si="35"/>
        <v>6.96E-3</v>
      </c>
      <c r="BJ52">
        <f t="shared" si="82"/>
        <v>0.14782025091394899</v>
      </c>
      <c r="BK52" s="472">
        <f t="shared" si="54"/>
        <v>147.820250913949</v>
      </c>
      <c r="BL52" s="179">
        <f t="shared" si="83"/>
        <v>0.18235999999999999</v>
      </c>
      <c r="BM52" s="179">
        <f t="shared" si="84"/>
        <v>9.1179999999999997E-2</v>
      </c>
      <c r="BN52" s="546"/>
      <c r="BP52" s="472">
        <f t="shared" si="55"/>
        <v>273.54000000000002</v>
      </c>
      <c r="BQ52" s="546">
        <f t="shared" si="39"/>
        <v>1.3397602799249606E-2</v>
      </c>
      <c r="BR52" s="546">
        <f t="shared" si="56"/>
        <v>4.7324314961350707E-2</v>
      </c>
      <c r="BS52" s="546">
        <f t="shared" si="85"/>
        <v>2.7925371680379386E-2</v>
      </c>
      <c r="BT52" s="546">
        <f t="shared" si="41"/>
        <v>5.9922560837562894E-2</v>
      </c>
      <c r="BU52" s="546">
        <f t="shared" si="86"/>
        <v>0.16034465453150565</v>
      </c>
      <c r="BV52" s="655">
        <f t="shared" si="87"/>
        <v>2.0836666666666667E-2</v>
      </c>
      <c r="BW52" s="472">
        <f t="shared" si="57"/>
        <v>181.18132119817233</v>
      </c>
      <c r="BX52" s="179">
        <f t="shared" si="58"/>
        <v>0.60254157211212123</v>
      </c>
      <c r="BY52" s="6">
        <f t="shared" si="59"/>
        <v>3.1254999999999997</v>
      </c>
      <c r="BZ52" s="179">
        <f t="shared" si="60"/>
        <v>0.83837584413771671</v>
      </c>
      <c r="CA52" s="6">
        <f t="shared" si="61"/>
        <v>83.837584413771665</v>
      </c>
      <c r="CB52">
        <f t="shared" si="92"/>
        <v>47</v>
      </c>
      <c r="CD52" s="581">
        <f t="shared" si="88"/>
        <v>-50</v>
      </c>
      <c r="CE52">
        <f t="shared" si="89"/>
        <v>-50</v>
      </c>
    </row>
    <row r="53" spans="5:83" x14ac:dyDescent="0.2">
      <c r="E53" s="176">
        <v>48</v>
      </c>
      <c r="F53" s="223">
        <f t="shared" si="93"/>
        <v>0.48</v>
      </c>
      <c r="G53" s="223">
        <f t="shared" si="90"/>
        <v>0.24</v>
      </c>
      <c r="H53" s="223">
        <f t="shared" si="65"/>
        <v>2.4</v>
      </c>
      <c r="I53" s="223">
        <f t="shared" si="94"/>
        <v>0.79199999999999993</v>
      </c>
      <c r="J53" s="559">
        <f t="shared" si="1"/>
        <v>24</v>
      </c>
      <c r="K53" s="454">
        <f t="shared" si="2"/>
        <v>15.899999999999999</v>
      </c>
      <c r="L53" s="454">
        <f t="shared" si="3"/>
        <v>39.9</v>
      </c>
      <c r="M53" s="454"/>
      <c r="N53" s="223">
        <f t="shared" si="4"/>
        <v>0.39849624060150374</v>
      </c>
      <c r="O53" s="178">
        <f t="shared" si="91"/>
        <v>4.8538639832664359</v>
      </c>
      <c r="P53" s="178">
        <f t="shared" si="66"/>
        <v>2.1303609022556387</v>
      </c>
      <c r="Q53" s="223">
        <f t="shared" si="6"/>
        <v>0.9707727966532872</v>
      </c>
      <c r="R53" s="223">
        <f t="shared" si="67"/>
        <v>1.4708678737171019</v>
      </c>
      <c r="S53" s="454">
        <f t="shared" si="68"/>
        <v>5</v>
      </c>
      <c r="T53" s="223">
        <f t="shared" si="69"/>
        <v>0.74167714884696012</v>
      </c>
      <c r="U53" s="223">
        <f t="shared" si="10"/>
        <v>0.92709643605870007</v>
      </c>
      <c r="V53" s="223">
        <f t="shared" si="11"/>
        <v>1.399390846881057</v>
      </c>
      <c r="W53" s="203">
        <f t="shared" si="12"/>
        <v>350</v>
      </c>
      <c r="X53" s="454">
        <f t="shared" si="48"/>
        <v>350</v>
      </c>
      <c r="Z53" s="223">
        <f t="shared" si="13"/>
        <v>0.91084854994629427</v>
      </c>
      <c r="AA53" s="179">
        <f t="shared" si="14"/>
        <v>1.7185821697099894</v>
      </c>
      <c r="AB53" s="179">
        <f t="shared" si="70"/>
        <v>0.82181824055304764</v>
      </c>
      <c r="AC53" s="179"/>
      <c r="AD53" s="179">
        <f t="shared" si="16"/>
        <v>0.5660377358490567</v>
      </c>
      <c r="AE53" s="563">
        <f t="shared" si="71"/>
        <v>1884.4444444444441</v>
      </c>
      <c r="AF53" s="546">
        <f t="shared" si="72"/>
        <v>8.9150943396226423E-2</v>
      </c>
      <c r="AH53" s="179">
        <f t="shared" si="73"/>
        <v>0.77974354758471709</v>
      </c>
      <c r="AI53" s="179">
        <f t="shared" si="74"/>
        <v>0.77974354758471709</v>
      </c>
      <c r="AJ53" s="179">
        <f t="shared" si="75"/>
        <v>1.5553655908034942</v>
      </c>
      <c r="AL53" s="563">
        <f t="shared" si="76"/>
        <v>480</v>
      </c>
      <c r="AM53" s="472">
        <f t="shared" si="77"/>
        <v>350</v>
      </c>
      <c r="AO53">
        <f t="shared" si="49"/>
        <v>480</v>
      </c>
      <c r="AP53" s="472">
        <f t="shared" si="24"/>
        <v>350</v>
      </c>
      <c r="AQ53" s="472"/>
      <c r="AR53" s="6">
        <f t="shared" si="50"/>
        <v>2.8571428571428572</v>
      </c>
      <c r="AS53" s="6">
        <f t="shared" si="25"/>
        <v>0.97467943448089633</v>
      </c>
      <c r="AT53" s="6">
        <f t="shared" si="51"/>
        <v>1.882463422661961</v>
      </c>
      <c r="AU53" s="179">
        <f t="shared" si="52"/>
        <v>0.34113780206831373</v>
      </c>
      <c r="AW53" s="6">
        <f t="shared" si="78"/>
        <v>9.3569225710166055</v>
      </c>
      <c r="AX53" s="6">
        <f t="shared" si="79"/>
        <v>7.0885777053156103</v>
      </c>
      <c r="AY53" s="6">
        <f t="shared" si="28"/>
        <v>0.17430216876499635</v>
      </c>
      <c r="AZ53" s="6"/>
      <c r="BA53" s="179">
        <f t="shared" si="53"/>
        <v>0.26293965318905066</v>
      </c>
      <c r="BB53" s="179">
        <f t="shared" si="80"/>
        <v>1.0962502675153132</v>
      </c>
      <c r="BC53" s="179">
        <f t="shared" si="81"/>
        <v>0.53259492163452293</v>
      </c>
      <c r="BD53" s="179"/>
      <c r="BE53" s="546">
        <f t="shared" si="31"/>
        <v>2.4198041426712381E-2</v>
      </c>
      <c r="BF53" s="546">
        <f t="shared" si="32"/>
        <v>8.1668389815154299E-2</v>
      </c>
      <c r="BG53" s="546">
        <f t="shared" si="33"/>
        <v>4.3749999999999995E-3</v>
      </c>
      <c r="BH53" s="546">
        <f t="shared" si="34"/>
        <v>2.7860175000000001E-2</v>
      </c>
      <c r="BI53">
        <f t="shared" si="35"/>
        <v>6.96E-3</v>
      </c>
      <c r="BJ53">
        <f t="shared" si="82"/>
        <v>0.14958253474957278</v>
      </c>
      <c r="BK53" s="472">
        <f t="shared" si="54"/>
        <v>149.58253474957277</v>
      </c>
      <c r="BL53" s="179">
        <f t="shared" si="83"/>
        <v>0.18623999999999999</v>
      </c>
      <c r="BM53" s="179">
        <f t="shared" si="84"/>
        <v>9.3119999999999994E-2</v>
      </c>
      <c r="BN53" s="546"/>
      <c r="BP53" s="472">
        <f t="shared" si="55"/>
        <v>279.36</v>
      </c>
      <c r="BQ53" s="546">
        <f t="shared" si="39"/>
        <v>1.3827452243835648E-2</v>
      </c>
      <c r="BR53" s="546">
        <f t="shared" si="56"/>
        <v>4.8070585961095827E-2</v>
      </c>
      <c r="BS53" s="546">
        <f t="shared" si="85"/>
        <v>2.8365735055088367E-2</v>
      </c>
      <c r="BT53" s="546">
        <f t="shared" si="41"/>
        <v>6.1520462152597807E-2</v>
      </c>
      <c r="BU53" s="546">
        <f t="shared" si="86"/>
        <v>0.16379869526700955</v>
      </c>
      <c r="BV53" s="655">
        <f t="shared" si="87"/>
        <v>2.128E-2</v>
      </c>
      <c r="BW53" s="472">
        <f t="shared" si="57"/>
        <v>185.07869526700955</v>
      </c>
      <c r="BX53" s="179">
        <f t="shared" si="58"/>
        <v>0.61402123001658226</v>
      </c>
      <c r="BY53" s="6">
        <f t="shared" si="59"/>
        <v>3.1919999999999997</v>
      </c>
      <c r="BZ53" s="179">
        <f t="shared" si="60"/>
        <v>0.83867109695184039</v>
      </c>
      <c r="CA53" s="6">
        <f t="shared" si="61"/>
        <v>83.867109695184041</v>
      </c>
      <c r="CB53">
        <f t="shared" si="92"/>
        <v>48</v>
      </c>
      <c r="CD53" s="581">
        <f t="shared" si="88"/>
        <v>-50</v>
      </c>
      <c r="CE53">
        <f t="shared" si="89"/>
        <v>-50</v>
      </c>
    </row>
    <row r="54" spans="5:83" x14ac:dyDescent="0.2">
      <c r="E54" s="176">
        <v>49</v>
      </c>
      <c r="F54" s="223">
        <f t="shared" si="93"/>
        <v>0.49</v>
      </c>
      <c r="G54" s="223">
        <f t="shared" si="90"/>
        <v>0.245</v>
      </c>
      <c r="H54" s="223">
        <f t="shared" si="65"/>
        <v>2.4500000000000002</v>
      </c>
      <c r="I54" s="223">
        <f t="shared" si="94"/>
        <v>0.8085</v>
      </c>
      <c r="J54" s="559">
        <f t="shared" si="1"/>
        <v>24</v>
      </c>
      <c r="K54" s="454">
        <f t="shared" si="2"/>
        <v>15.899999999999999</v>
      </c>
      <c r="L54" s="454">
        <f t="shared" si="3"/>
        <v>39.9</v>
      </c>
      <c r="M54" s="454"/>
      <c r="N54" s="223">
        <f t="shared" si="4"/>
        <v>0.39849624060150374</v>
      </c>
      <c r="O54" s="178">
        <f t="shared" si="91"/>
        <v>4.8538639832664359</v>
      </c>
      <c r="P54" s="178">
        <f t="shared" si="66"/>
        <v>2.1303609022556387</v>
      </c>
      <c r="Q54" s="223">
        <f t="shared" si="6"/>
        <v>0.9707727966532872</v>
      </c>
      <c r="R54" s="223">
        <f t="shared" si="67"/>
        <v>1.4708678737171019</v>
      </c>
      <c r="S54" s="454">
        <f t="shared" si="68"/>
        <v>5</v>
      </c>
      <c r="T54" s="223">
        <f t="shared" si="69"/>
        <v>0.75712875611460517</v>
      </c>
      <c r="U54" s="223">
        <f t="shared" si="10"/>
        <v>0.94641094514325641</v>
      </c>
      <c r="V54" s="223">
        <f t="shared" si="11"/>
        <v>1.4285448228577458</v>
      </c>
      <c r="W54" s="203">
        <f t="shared" si="12"/>
        <v>350</v>
      </c>
      <c r="X54" s="454">
        <f t="shared" si="48"/>
        <v>350</v>
      </c>
      <c r="Z54" s="223">
        <f t="shared" si="13"/>
        <v>0.91084854994629427</v>
      </c>
      <c r="AA54" s="179">
        <f t="shared" si="14"/>
        <v>1.7185821697099894</v>
      </c>
      <c r="AB54" s="179">
        <f t="shared" si="70"/>
        <v>0.82181824055304764</v>
      </c>
      <c r="AC54" s="179"/>
      <c r="AD54" s="179">
        <f t="shared" si="16"/>
        <v>0.5660377358490567</v>
      </c>
      <c r="AE54" s="563">
        <f t="shared" si="71"/>
        <v>1923.7037037037037</v>
      </c>
      <c r="AF54" s="546">
        <f t="shared" si="72"/>
        <v>8.9150943396226423E-2</v>
      </c>
      <c r="AH54" s="179">
        <f t="shared" si="73"/>
        <v>0.78782400741959291</v>
      </c>
      <c r="AI54" s="179">
        <f t="shared" si="74"/>
        <v>0.78782400741959291</v>
      </c>
      <c r="AJ54" s="179">
        <f t="shared" si="75"/>
        <v>1.5613511166071059</v>
      </c>
      <c r="AL54" s="563">
        <f t="shared" si="76"/>
        <v>490</v>
      </c>
      <c r="AM54" s="472">
        <f t="shared" si="77"/>
        <v>350</v>
      </c>
      <c r="AO54">
        <f t="shared" si="49"/>
        <v>490</v>
      </c>
      <c r="AP54" s="472">
        <f t="shared" si="24"/>
        <v>350</v>
      </c>
      <c r="AQ54" s="472"/>
      <c r="AR54" s="6">
        <f t="shared" si="50"/>
        <v>2.8571428571428572</v>
      </c>
      <c r="AS54" s="6">
        <f t="shared" si="25"/>
        <v>0.98478000927449105</v>
      </c>
      <c r="AT54" s="6">
        <f t="shared" si="51"/>
        <v>1.872362847868366</v>
      </c>
      <c r="AU54" s="179">
        <f t="shared" si="52"/>
        <v>0.34467300324607186</v>
      </c>
      <c r="AW54" s="6">
        <f t="shared" si="78"/>
        <v>9.6508440908900113</v>
      </c>
      <c r="AX54" s="6">
        <f t="shared" si="79"/>
        <v>7.3112455234015243</v>
      </c>
      <c r="AY54" s="6">
        <f t="shared" si="28"/>
        <v>0.17697874140731082</v>
      </c>
      <c r="AZ54" s="6"/>
      <c r="BA54" s="179">
        <f t="shared" si="53"/>
        <v>0.26703747802804045</v>
      </c>
      <c r="BB54" s="179">
        <f t="shared" si="80"/>
        <v>1.1046351741438503</v>
      </c>
      <c r="BC54" s="179">
        <f t="shared" si="81"/>
        <v>0.53666858877155399</v>
      </c>
      <c r="BD54" s="179"/>
      <c r="BE54" s="546">
        <f t="shared" si="31"/>
        <v>2.4958155135051664E-2</v>
      </c>
      <c r="BF54" s="546">
        <f t="shared" si="32"/>
        <v>8.251471697710959E-2</v>
      </c>
      <c r="BG54" s="546">
        <f t="shared" si="33"/>
        <v>4.3749999999999995E-3</v>
      </c>
      <c r="BH54" s="546">
        <f t="shared" si="34"/>
        <v>2.7860175000000001E-2</v>
      </c>
      <c r="BI54">
        <f t="shared" si="35"/>
        <v>6.96E-3</v>
      </c>
      <c r="BJ54">
        <f t="shared" si="82"/>
        <v>0.15134624045702535</v>
      </c>
      <c r="BK54" s="472">
        <f t="shared" si="54"/>
        <v>151.34624045702535</v>
      </c>
      <c r="BL54" s="179">
        <f t="shared" si="83"/>
        <v>0.19012000000000001</v>
      </c>
      <c r="BM54" s="179">
        <f t="shared" si="84"/>
        <v>9.5060000000000006E-2</v>
      </c>
      <c r="BN54" s="546"/>
      <c r="BP54" s="472">
        <f t="shared" si="55"/>
        <v>285.18</v>
      </c>
      <c r="BQ54" s="546">
        <f t="shared" si="39"/>
        <v>1.4261802934315239E-2</v>
      </c>
      <c r="BR54" s="546">
        <f t="shared" si="56"/>
        <v>4.8808754718232573E-2</v>
      </c>
      <c r="BS54" s="546">
        <f t="shared" si="85"/>
        <v>2.8801317417405131E-2</v>
      </c>
      <c r="BT54" s="546">
        <f t="shared" si="41"/>
        <v>6.3126708110519417E-2</v>
      </c>
      <c r="BU54" s="546">
        <f t="shared" si="86"/>
        <v>0.16725247204622445</v>
      </c>
      <c r="BV54" s="655">
        <f t="shared" si="87"/>
        <v>2.1723333333333344E-2</v>
      </c>
      <c r="BW54" s="472">
        <f t="shared" si="57"/>
        <v>188.97580537955781</v>
      </c>
      <c r="BX54" s="179">
        <f t="shared" si="58"/>
        <v>0.6255020458365832</v>
      </c>
      <c r="BY54" s="6">
        <f t="shared" si="59"/>
        <v>3.2585000000000002</v>
      </c>
      <c r="BZ54" s="179">
        <f t="shared" si="60"/>
        <v>0.83895424398473639</v>
      </c>
      <c r="CA54" s="6">
        <f t="shared" si="61"/>
        <v>83.895424398473637</v>
      </c>
      <c r="CB54">
        <f t="shared" si="92"/>
        <v>49</v>
      </c>
      <c r="CD54" s="581">
        <f t="shared" si="88"/>
        <v>-50</v>
      </c>
      <c r="CE54">
        <f t="shared" si="89"/>
        <v>-50</v>
      </c>
    </row>
    <row r="55" spans="5:83" x14ac:dyDescent="0.2">
      <c r="E55" s="176">
        <v>50</v>
      </c>
      <c r="F55" s="223">
        <f t="shared" si="93"/>
        <v>0.5</v>
      </c>
      <c r="G55" s="223">
        <f t="shared" si="90"/>
        <v>0.25</v>
      </c>
      <c r="H55" s="223">
        <f t="shared" si="65"/>
        <v>2.5</v>
      </c>
      <c r="I55" s="223">
        <f t="shared" si="94"/>
        <v>0.82499999999999996</v>
      </c>
      <c r="J55" s="559">
        <f t="shared" si="1"/>
        <v>24</v>
      </c>
      <c r="K55" s="454">
        <f t="shared" si="2"/>
        <v>15.899999999999999</v>
      </c>
      <c r="L55" s="454">
        <f t="shared" si="3"/>
        <v>39.9</v>
      </c>
      <c r="M55" s="454"/>
      <c r="N55" s="223">
        <f t="shared" si="4"/>
        <v>0.39849624060150374</v>
      </c>
      <c r="O55" s="178">
        <f t="shared" si="91"/>
        <v>4.8538639832664359</v>
      </c>
      <c r="P55" s="178">
        <f t="shared" si="66"/>
        <v>2.1303609022556387</v>
      </c>
      <c r="Q55" s="223">
        <f t="shared" si="6"/>
        <v>0.9707727966532872</v>
      </c>
      <c r="R55" s="223">
        <f t="shared" si="67"/>
        <v>1.4708678737171019</v>
      </c>
      <c r="S55" s="454">
        <f t="shared" si="68"/>
        <v>5</v>
      </c>
      <c r="T55" s="223">
        <f t="shared" si="69"/>
        <v>0.77258036338225022</v>
      </c>
      <c r="U55" s="223">
        <f t="shared" si="10"/>
        <v>0.96572545422781286</v>
      </c>
      <c r="V55" s="223">
        <f t="shared" si="11"/>
        <v>1.4576987988344345</v>
      </c>
      <c r="W55" s="203">
        <f t="shared" si="12"/>
        <v>350</v>
      </c>
      <c r="X55" s="454">
        <f t="shared" si="48"/>
        <v>350</v>
      </c>
      <c r="Z55" s="223">
        <f t="shared" si="13"/>
        <v>0.91084854994629427</v>
      </c>
      <c r="AA55" s="179">
        <f t="shared" si="14"/>
        <v>1.7185821697099894</v>
      </c>
      <c r="AB55" s="179">
        <f t="shared" si="70"/>
        <v>0.82181824055304764</v>
      </c>
      <c r="AC55" s="179"/>
      <c r="AD55" s="179">
        <f t="shared" si="16"/>
        <v>0.5660377358490567</v>
      </c>
      <c r="AE55" s="563">
        <f t="shared" si="71"/>
        <v>1962.9629629629628</v>
      </c>
      <c r="AF55" s="546">
        <f t="shared" si="72"/>
        <v>8.9150943396226423E-2</v>
      </c>
      <c r="AH55" s="179">
        <f t="shared" si="73"/>
        <v>0.79582242575422146</v>
      </c>
      <c r="AI55" s="179">
        <f t="shared" si="74"/>
        <v>0.79582242575422146</v>
      </c>
      <c r="AJ55" s="179">
        <f t="shared" si="75"/>
        <v>1.5672758709290529</v>
      </c>
      <c r="AL55" s="563">
        <f t="shared" si="76"/>
        <v>500</v>
      </c>
      <c r="AM55" s="472">
        <f t="shared" si="77"/>
        <v>350</v>
      </c>
      <c r="AO55">
        <f t="shared" si="49"/>
        <v>500</v>
      </c>
      <c r="AP55" s="472">
        <f t="shared" si="24"/>
        <v>350</v>
      </c>
      <c r="AQ55" s="472"/>
      <c r="AR55" s="6">
        <f t="shared" si="50"/>
        <v>2.8571428571428572</v>
      </c>
      <c r="AS55" s="6">
        <f t="shared" si="25"/>
        <v>0.99477803219277683</v>
      </c>
      <c r="AT55" s="6">
        <f t="shared" si="51"/>
        <v>1.8623648249500804</v>
      </c>
      <c r="AU55" s="179">
        <f t="shared" si="52"/>
        <v>0.34817231126747189</v>
      </c>
      <c r="AW55" s="6">
        <f t="shared" si="78"/>
        <v>9.9477803219277696</v>
      </c>
      <c r="AX55" s="6">
        <f t="shared" si="79"/>
        <v>7.5361972135816426</v>
      </c>
      <c r="AY55" s="6">
        <f t="shared" si="28"/>
        <v>0.17962623697435187</v>
      </c>
      <c r="AZ55" s="6"/>
      <c r="BA55" s="179">
        <f t="shared" si="53"/>
        <v>0.27111444721703715</v>
      </c>
      <c r="BB55" s="179">
        <f t="shared" si="80"/>
        <v>1.1128668422555339</v>
      </c>
      <c r="BC55" s="179">
        <f t="shared" si="81"/>
        <v>0.54066780752914678</v>
      </c>
      <c r="BD55" s="179"/>
      <c r="BE55" s="546">
        <f t="shared" si="31"/>
        <v>2.5726065221429867E-2</v>
      </c>
      <c r="BF55" s="546">
        <f t="shared" si="32"/>
        <v>8.3352451317432769E-2</v>
      </c>
      <c r="BG55" s="546">
        <f t="shared" si="33"/>
        <v>4.3749999999999995E-3</v>
      </c>
      <c r="BH55" s="546">
        <f t="shared" si="34"/>
        <v>2.7860175000000001E-2</v>
      </c>
      <c r="BI55">
        <f t="shared" si="35"/>
        <v>6.96E-3</v>
      </c>
      <c r="BJ55">
        <f t="shared" si="82"/>
        <v>0.15311155927693493</v>
      </c>
      <c r="BK55" s="472">
        <f t="shared" si="54"/>
        <v>153.11155927693494</v>
      </c>
      <c r="BL55" s="179">
        <f t="shared" si="83"/>
        <v>0.19400000000000001</v>
      </c>
      <c r="BM55" s="179">
        <f t="shared" si="84"/>
        <v>9.7000000000000003E-2</v>
      </c>
      <c r="BN55" s="546"/>
      <c r="BP55" s="472">
        <f t="shared" si="55"/>
        <v>291.00000000000006</v>
      </c>
      <c r="BQ55" s="546">
        <f t="shared" si="39"/>
        <v>1.4700608697959925E-2</v>
      </c>
      <c r="BR55" s="546">
        <f t="shared" si="56"/>
        <v>4.9538904343672141E-2</v>
      </c>
      <c r="BS55" s="546">
        <f t="shared" si="85"/>
        <v>2.923216780983745E-2</v>
      </c>
      <c r="BT55" s="546">
        <f t="shared" si="41"/>
        <v>6.4741170642810042E-2</v>
      </c>
      <c r="BU55" s="546">
        <f t="shared" si="86"/>
        <v>0.17070594693980032</v>
      </c>
      <c r="BV55" s="655">
        <f t="shared" si="87"/>
        <v>2.2166666666666664E-2</v>
      </c>
      <c r="BW55" s="472">
        <f t="shared" si="57"/>
        <v>192.87261360646698</v>
      </c>
      <c r="BX55" s="179">
        <f t="shared" si="58"/>
        <v>0.63698417288340192</v>
      </c>
      <c r="BY55" s="6">
        <f t="shared" si="59"/>
        <v>3.3250000000000002</v>
      </c>
      <c r="BZ55" s="179">
        <f t="shared" si="60"/>
        <v>0.83922596732136223</v>
      </c>
      <c r="CA55" s="6">
        <f t="shared" si="61"/>
        <v>83.922596732136228</v>
      </c>
      <c r="CB55">
        <f t="shared" si="92"/>
        <v>50</v>
      </c>
      <c r="CD55" s="581">
        <f t="shared" si="88"/>
        <v>-50</v>
      </c>
      <c r="CE55">
        <f t="shared" si="89"/>
        <v>-50</v>
      </c>
    </row>
    <row r="56" spans="5:83" x14ac:dyDescent="0.2">
      <c r="E56" s="176">
        <v>51</v>
      </c>
      <c r="F56" s="223">
        <f t="shared" si="93"/>
        <v>0.51</v>
      </c>
      <c r="G56" s="223">
        <f t="shared" si="90"/>
        <v>0.255</v>
      </c>
      <c r="H56" s="223">
        <f t="shared" si="65"/>
        <v>2.5499999999999998</v>
      </c>
      <c r="I56" s="223">
        <f t="shared" si="94"/>
        <v>0.84149999999999991</v>
      </c>
      <c r="J56" s="559">
        <f t="shared" si="1"/>
        <v>24</v>
      </c>
      <c r="K56" s="454">
        <f t="shared" si="2"/>
        <v>15.899999999999999</v>
      </c>
      <c r="L56" s="454">
        <f t="shared" si="3"/>
        <v>39.9</v>
      </c>
      <c r="M56" s="454"/>
      <c r="N56" s="223">
        <f t="shared" si="4"/>
        <v>0.39849624060150374</v>
      </c>
      <c r="O56" s="178">
        <f t="shared" si="91"/>
        <v>4.8538639832664359</v>
      </c>
      <c r="P56" s="178">
        <f t="shared" si="66"/>
        <v>2.1303609022556387</v>
      </c>
      <c r="Q56" s="223">
        <f t="shared" si="6"/>
        <v>0.9707727966532872</v>
      </c>
      <c r="R56" s="223">
        <f t="shared" si="67"/>
        <v>1.4708678737171019</v>
      </c>
      <c r="S56" s="454">
        <f t="shared" si="68"/>
        <v>5</v>
      </c>
      <c r="T56" s="223">
        <f t="shared" si="69"/>
        <v>0.78803197064989505</v>
      </c>
      <c r="U56" s="223">
        <f t="shared" si="10"/>
        <v>0.98503996331236876</v>
      </c>
      <c r="V56" s="223">
        <f t="shared" si="11"/>
        <v>1.4868527748111229</v>
      </c>
      <c r="W56" s="203">
        <f t="shared" si="12"/>
        <v>350</v>
      </c>
      <c r="X56" s="454">
        <f t="shared" si="48"/>
        <v>350</v>
      </c>
      <c r="Z56" s="223">
        <f t="shared" si="13"/>
        <v>0.91084854994629427</v>
      </c>
      <c r="AA56" s="179">
        <f t="shared" si="14"/>
        <v>1.7185821697099894</v>
      </c>
      <c r="AB56" s="179">
        <f t="shared" si="70"/>
        <v>0.82181824055304764</v>
      </c>
      <c r="AC56" s="179"/>
      <c r="AD56" s="179">
        <f t="shared" si="16"/>
        <v>0.5660377358490567</v>
      </c>
      <c r="AE56" s="563">
        <f t="shared" si="71"/>
        <v>2002.2222222222219</v>
      </c>
      <c r="AF56" s="546">
        <f t="shared" si="72"/>
        <v>8.9150943396226423E-2</v>
      </c>
      <c r="AH56" s="179">
        <f t="shared" si="73"/>
        <v>0.80374125189640477</v>
      </c>
      <c r="AI56" s="179">
        <f t="shared" si="74"/>
        <v>0.80374125189640477</v>
      </c>
      <c r="AJ56" s="179">
        <f t="shared" si="75"/>
        <v>1.573141668071411</v>
      </c>
      <c r="AL56" s="563">
        <f t="shared" si="76"/>
        <v>510</v>
      </c>
      <c r="AM56" s="472">
        <f t="shared" si="77"/>
        <v>350</v>
      </c>
      <c r="AO56">
        <f t="shared" si="49"/>
        <v>510</v>
      </c>
      <c r="AP56" s="472">
        <f t="shared" si="24"/>
        <v>350</v>
      </c>
      <c r="AQ56" s="472"/>
      <c r="AR56" s="6">
        <f t="shared" si="50"/>
        <v>2.8571428571428572</v>
      </c>
      <c r="AS56" s="6">
        <f t="shared" si="25"/>
        <v>1.0046765648705061</v>
      </c>
      <c r="AT56" s="6">
        <f t="shared" si="51"/>
        <v>1.8524662922723512</v>
      </c>
      <c r="AU56" s="179">
        <f t="shared" si="52"/>
        <v>0.3516367977046771</v>
      </c>
      <c r="AW56" s="6">
        <f t="shared" si="78"/>
        <v>10.247700961679161</v>
      </c>
      <c r="AX56" s="6">
        <f t="shared" si="79"/>
        <v>7.7634098194539112</v>
      </c>
      <c r="AY56" s="6">
        <f t="shared" si="28"/>
        <v>0.18224494773512709</v>
      </c>
      <c r="AZ56" s="6"/>
      <c r="BA56" s="179">
        <f t="shared" si="53"/>
        <v>0.27517108091586789</v>
      </c>
      <c r="BB56" s="179">
        <f t="shared" si="80"/>
        <v>1.1209495466114145</v>
      </c>
      <c r="BC56" s="179">
        <f t="shared" si="81"/>
        <v>0.54459465472871216</v>
      </c>
      <c r="BD56" s="179"/>
      <c r="BE56" s="546">
        <f t="shared" si="31"/>
        <v>2.6501693320342488E-2</v>
      </c>
      <c r="BF56" s="546">
        <f t="shared" si="32"/>
        <v>8.418184937049969E-2</v>
      </c>
      <c r="BG56" s="546">
        <f t="shared" si="33"/>
        <v>4.3749999999999995E-3</v>
      </c>
      <c r="BH56" s="546">
        <f t="shared" si="34"/>
        <v>2.7860175000000001E-2</v>
      </c>
      <c r="BI56">
        <f t="shared" si="35"/>
        <v>6.96E-3</v>
      </c>
      <c r="BJ56">
        <f t="shared" si="82"/>
        <v>0.15487867184646539</v>
      </c>
      <c r="BK56" s="472">
        <f t="shared" si="54"/>
        <v>154.87867184646538</v>
      </c>
      <c r="BL56" s="179">
        <f t="shared" si="83"/>
        <v>0.19788</v>
      </c>
      <c r="BM56" s="179">
        <f t="shared" si="84"/>
        <v>9.894E-2</v>
      </c>
      <c r="BN56" s="546"/>
      <c r="BP56" s="472">
        <f t="shared" si="55"/>
        <v>296.82</v>
      </c>
      <c r="BQ56" s="546">
        <f t="shared" si="39"/>
        <v>1.5143824754481422E-2</v>
      </c>
      <c r="BR56" s="546">
        <f t="shared" si="56"/>
        <v>5.0261115441933429E-2</v>
      </c>
      <c r="BS56" s="546">
        <f t="shared" si="85"/>
        <v>2.9658333795908522E-2</v>
      </c>
      <c r="BT56" s="546">
        <f t="shared" si="41"/>
        <v>6.6363726175533003E-2</v>
      </c>
      <c r="BU56" s="546">
        <f t="shared" si="86"/>
        <v>0.17415908366200827</v>
      </c>
      <c r="BV56" s="655">
        <f t="shared" si="87"/>
        <v>2.2610000000000002E-2</v>
      </c>
      <c r="BW56" s="472">
        <f t="shared" si="57"/>
        <v>196.76908366200826</v>
      </c>
      <c r="BX56" s="179">
        <f t="shared" si="58"/>
        <v>0.64846775550847369</v>
      </c>
      <c r="BY56" s="6">
        <f t="shared" si="59"/>
        <v>3.3914999999999997</v>
      </c>
      <c r="BZ56" s="179">
        <f t="shared" si="60"/>
        <v>0.83948689822479605</v>
      </c>
      <c r="CA56" s="6">
        <f t="shared" si="61"/>
        <v>83.948689822479608</v>
      </c>
      <c r="CB56">
        <f t="shared" si="92"/>
        <v>51</v>
      </c>
      <c r="CD56" s="581">
        <f t="shared" si="88"/>
        <v>-50</v>
      </c>
      <c r="CE56">
        <f t="shared" si="89"/>
        <v>-50</v>
      </c>
    </row>
    <row r="57" spans="5:83" x14ac:dyDescent="0.2">
      <c r="E57" s="176">
        <v>52</v>
      </c>
      <c r="F57" s="223">
        <f t="shared" si="93"/>
        <v>0.52</v>
      </c>
      <c r="G57" s="223">
        <f t="shared" si="90"/>
        <v>0.26</v>
      </c>
      <c r="H57" s="223">
        <f t="shared" si="65"/>
        <v>2.6</v>
      </c>
      <c r="I57" s="223">
        <f t="shared" si="94"/>
        <v>0.85799999999999998</v>
      </c>
      <c r="J57" s="559">
        <f t="shared" si="1"/>
        <v>24</v>
      </c>
      <c r="K57" s="454">
        <f t="shared" si="2"/>
        <v>15.899999999999999</v>
      </c>
      <c r="L57" s="454">
        <f t="shared" si="3"/>
        <v>39.9</v>
      </c>
      <c r="M57" s="454"/>
      <c r="N57" s="223">
        <f t="shared" si="4"/>
        <v>0.39849624060150374</v>
      </c>
      <c r="O57" s="178">
        <f t="shared" si="91"/>
        <v>4.8538639832664359</v>
      </c>
      <c r="P57" s="178">
        <f t="shared" si="66"/>
        <v>2.1303609022556387</v>
      </c>
      <c r="Q57" s="223">
        <f t="shared" si="6"/>
        <v>0.9707727966532872</v>
      </c>
      <c r="R57" s="223">
        <f t="shared" si="67"/>
        <v>1.4708678737171019</v>
      </c>
      <c r="S57" s="454">
        <f t="shared" si="68"/>
        <v>5</v>
      </c>
      <c r="T57" s="223">
        <f t="shared" si="69"/>
        <v>0.80348357791754021</v>
      </c>
      <c r="U57" s="223">
        <f t="shared" si="10"/>
        <v>1.0043544723969253</v>
      </c>
      <c r="V57" s="223">
        <f t="shared" si="11"/>
        <v>1.5160067507878119</v>
      </c>
      <c r="W57" s="203">
        <f t="shared" si="12"/>
        <v>350</v>
      </c>
      <c r="X57" s="454">
        <f t="shared" si="48"/>
        <v>350</v>
      </c>
      <c r="Z57" s="223">
        <f t="shared" si="13"/>
        <v>0.91084854994629427</v>
      </c>
      <c r="AA57" s="179">
        <f t="shared" si="14"/>
        <v>1.7185821697099894</v>
      </c>
      <c r="AB57" s="179">
        <f t="shared" si="70"/>
        <v>0.82181824055304764</v>
      </c>
      <c r="AC57" s="179"/>
      <c r="AD57" s="179">
        <f t="shared" si="16"/>
        <v>0.5660377358490567</v>
      </c>
      <c r="AE57" s="563">
        <f t="shared" si="71"/>
        <v>2041.4814814814811</v>
      </c>
      <c r="AF57" s="546">
        <f t="shared" si="72"/>
        <v>8.9150943396226423E-2</v>
      </c>
      <c r="AH57" s="179">
        <f t="shared" si="73"/>
        <v>0.81158281565510415</v>
      </c>
      <c r="AI57" s="179">
        <f t="shared" si="74"/>
        <v>0.81158281565510415</v>
      </c>
      <c r="AJ57" s="179">
        <f t="shared" si="75"/>
        <v>1.5789502338185957</v>
      </c>
      <c r="AL57" s="563">
        <f t="shared" si="76"/>
        <v>520</v>
      </c>
      <c r="AM57" s="472">
        <f t="shared" si="77"/>
        <v>350</v>
      </c>
      <c r="AO57">
        <f t="shared" si="49"/>
        <v>520</v>
      </c>
      <c r="AP57" s="472">
        <f t="shared" si="24"/>
        <v>350</v>
      </c>
      <c r="AQ57" s="472"/>
      <c r="AR57" s="6">
        <f t="shared" si="50"/>
        <v>2.8571428571428572</v>
      </c>
      <c r="AS57" s="6">
        <f t="shared" si="25"/>
        <v>1.0144785195688801</v>
      </c>
      <c r="AT57" s="6">
        <f t="shared" si="51"/>
        <v>1.8426643375739771</v>
      </c>
      <c r="AU57" s="179">
        <f t="shared" si="52"/>
        <v>0.35506748184910802</v>
      </c>
      <c r="AW57" s="6">
        <f t="shared" si="78"/>
        <v>10.550576603516353</v>
      </c>
      <c r="AX57" s="6">
        <f t="shared" si="79"/>
        <v>7.9928610632699639</v>
      </c>
      <c r="AY57" s="6">
        <f t="shared" si="28"/>
        <v>0.1848351573183773</v>
      </c>
      <c r="AZ57" s="6"/>
      <c r="BA57" s="179">
        <f t="shared" si="53"/>
        <v>0.27920787638799349</v>
      </c>
      <c r="BB57" s="179">
        <f t="shared" si="80"/>
        <v>1.1288873530455388</v>
      </c>
      <c r="BC57" s="179">
        <f t="shared" si="81"/>
        <v>0.54845110568795752</v>
      </c>
      <c r="BD57" s="179"/>
      <c r="BE57" s="546">
        <f t="shared" si="31"/>
        <v>2.7284963382982568E-2</v>
      </c>
      <c r="BF57" s="546">
        <f t="shared" si="32"/>
        <v>8.5003155154676463E-2</v>
      </c>
      <c r="BG57" s="546">
        <f t="shared" si="33"/>
        <v>4.3749999999999995E-3</v>
      </c>
      <c r="BH57" s="546">
        <f t="shared" si="34"/>
        <v>2.7860175000000001E-2</v>
      </c>
      <c r="BI57">
        <f t="shared" si="35"/>
        <v>6.96E-3</v>
      </c>
      <c r="BJ57">
        <f t="shared" si="82"/>
        <v>0.1566477489792534</v>
      </c>
      <c r="BK57" s="472">
        <f t="shared" si="54"/>
        <v>156.64774897925341</v>
      </c>
      <c r="BL57" s="179">
        <f t="shared" si="83"/>
        <v>0.20176000000000002</v>
      </c>
      <c r="BM57" s="179">
        <f t="shared" si="84"/>
        <v>0.10088000000000001</v>
      </c>
      <c r="BN57" s="546"/>
      <c r="BP57" s="472">
        <f t="shared" si="55"/>
        <v>302.64000000000004</v>
      </c>
      <c r="BQ57" s="546">
        <f t="shared" si="39"/>
        <v>1.5591407647418613E-2</v>
      </c>
      <c r="BR57" s="546">
        <f t="shared" si="56"/>
        <v>5.0975466234646521E-2</v>
      </c>
      <c r="BS57" s="546">
        <f t="shared" si="85"/>
        <v>3.0079861533034314E-2</v>
      </c>
      <c r="BT57" s="546">
        <f t="shared" si="41"/>
        <v>6.799425538631422E-2</v>
      </c>
      <c r="BU57" s="546">
        <f t="shared" si="86"/>
        <v>0.17761184746954373</v>
      </c>
      <c r="BV57" s="655">
        <f t="shared" si="87"/>
        <v>2.3053333333333335E-2</v>
      </c>
      <c r="BW57" s="472">
        <f t="shared" si="57"/>
        <v>200.66518080287707</v>
      </c>
      <c r="BX57" s="179">
        <f t="shared" si="58"/>
        <v>0.65995292978213049</v>
      </c>
      <c r="BY57" s="6">
        <f t="shared" si="59"/>
        <v>3.4580000000000002</v>
      </c>
      <c r="BZ57" s="179">
        <f t="shared" si="60"/>
        <v>0.83973762181467015</v>
      </c>
      <c r="CA57" s="6">
        <f t="shared" si="61"/>
        <v>83.973762181467009</v>
      </c>
      <c r="CB57">
        <f t="shared" si="92"/>
        <v>52</v>
      </c>
      <c r="CD57" s="581">
        <f t="shared" si="88"/>
        <v>-50</v>
      </c>
      <c r="CE57">
        <f t="shared" si="89"/>
        <v>-50</v>
      </c>
    </row>
    <row r="58" spans="5:83" x14ac:dyDescent="0.2">
      <c r="E58" s="176">
        <v>53</v>
      </c>
      <c r="F58" s="223">
        <f t="shared" si="93"/>
        <v>0.53</v>
      </c>
      <c r="G58" s="223">
        <f t="shared" si="90"/>
        <v>0.26500000000000001</v>
      </c>
      <c r="H58" s="223">
        <f t="shared" si="65"/>
        <v>2.6500000000000004</v>
      </c>
      <c r="I58" s="223">
        <f t="shared" si="94"/>
        <v>0.87449999999999994</v>
      </c>
      <c r="J58" s="559">
        <f t="shared" si="1"/>
        <v>24</v>
      </c>
      <c r="K58" s="454">
        <f t="shared" si="2"/>
        <v>15.899999999999999</v>
      </c>
      <c r="L58" s="454">
        <f t="shared" si="3"/>
        <v>39.9</v>
      </c>
      <c r="M58" s="454"/>
      <c r="N58" s="223">
        <f t="shared" si="4"/>
        <v>0.39849624060150374</v>
      </c>
      <c r="O58" s="178">
        <f t="shared" si="91"/>
        <v>4.8538639832664359</v>
      </c>
      <c r="P58" s="178">
        <f t="shared" si="66"/>
        <v>2.1303609022556387</v>
      </c>
      <c r="Q58" s="223">
        <f t="shared" si="6"/>
        <v>0.9707727966532872</v>
      </c>
      <c r="R58" s="223">
        <f t="shared" si="67"/>
        <v>1.4708678737171019</v>
      </c>
      <c r="S58" s="454">
        <f t="shared" si="68"/>
        <v>5</v>
      </c>
      <c r="T58" s="223">
        <f t="shared" si="69"/>
        <v>0.81893518518518515</v>
      </c>
      <c r="U58" s="223">
        <f t="shared" si="10"/>
        <v>1.0236689814814814</v>
      </c>
      <c r="V58" s="223">
        <f t="shared" si="11"/>
        <v>1.5451607267645004</v>
      </c>
      <c r="W58" s="203">
        <f t="shared" si="12"/>
        <v>350</v>
      </c>
      <c r="X58" s="454">
        <f t="shared" si="48"/>
        <v>350</v>
      </c>
      <c r="Z58" s="223">
        <f t="shared" si="13"/>
        <v>0.91084854994629427</v>
      </c>
      <c r="AA58" s="179">
        <f t="shared" si="14"/>
        <v>1.7185821697099894</v>
      </c>
      <c r="AB58" s="179">
        <f t="shared" si="70"/>
        <v>0.82181824055304764</v>
      </c>
      <c r="AC58" s="179"/>
      <c r="AD58" s="179">
        <f t="shared" si="16"/>
        <v>0.5660377358490567</v>
      </c>
      <c r="AE58" s="563">
        <f t="shared" si="71"/>
        <v>2080.7407407407404</v>
      </c>
      <c r="AF58" s="546">
        <f t="shared" si="72"/>
        <v>8.9150943396226423E-2</v>
      </c>
      <c r="AH58" s="179">
        <f t="shared" si="73"/>
        <v>0.81934933534685517</v>
      </c>
      <c r="AI58" s="179">
        <f t="shared" si="74"/>
        <v>0.81934933534685517</v>
      </c>
      <c r="AJ58" s="179">
        <f t="shared" si="75"/>
        <v>1.5847032113680408</v>
      </c>
      <c r="AL58" s="563">
        <f t="shared" si="76"/>
        <v>530</v>
      </c>
      <c r="AM58" s="472">
        <f t="shared" si="77"/>
        <v>350</v>
      </c>
      <c r="AO58">
        <f t="shared" si="49"/>
        <v>530</v>
      </c>
      <c r="AP58" s="472">
        <f t="shared" si="24"/>
        <v>350</v>
      </c>
      <c r="AQ58" s="472"/>
      <c r="AR58" s="6">
        <f t="shared" si="50"/>
        <v>2.8571428571428572</v>
      </c>
      <c r="AS58" s="6">
        <f t="shared" si="25"/>
        <v>1.0241866691835688</v>
      </c>
      <c r="AT58" s="6">
        <f t="shared" si="51"/>
        <v>1.8329561879592884</v>
      </c>
      <c r="AU58" s="179">
        <f t="shared" si="52"/>
        <v>0.35846533421424909</v>
      </c>
      <c r="AW58" s="6">
        <f t="shared" si="78"/>
        <v>10.85637869334583</v>
      </c>
      <c r="AX58" s="6">
        <f t="shared" si="79"/>
        <v>8.2245293131407795</v>
      </c>
      <c r="AY58" s="6">
        <f t="shared" si="28"/>
        <v>0.18739714113009698</v>
      </c>
      <c r="AZ58" s="6"/>
      <c r="BA58" s="179">
        <f t="shared" si="53"/>
        <v>0.28322530942843555</v>
      </c>
      <c r="BB58" s="179">
        <f t="shared" si="80"/>
        <v>1.136684132418722</v>
      </c>
      <c r="BC58" s="179">
        <f t="shared" si="81"/>
        <v>0.55223904100009569</v>
      </c>
      <c r="BD58" s="179"/>
      <c r="BE58" s="546">
        <f t="shared" si="31"/>
        <v>2.8075801565291568E-2</v>
      </c>
      <c r="BF58" s="546">
        <f t="shared" si="32"/>
        <v>8.5816601010891239E-2</v>
      </c>
      <c r="BG58" s="546">
        <f t="shared" si="33"/>
        <v>4.3749999999999995E-3</v>
      </c>
      <c r="BH58" s="546">
        <f t="shared" si="34"/>
        <v>2.7860175000000001E-2</v>
      </c>
      <c r="BI58">
        <f t="shared" si="35"/>
        <v>6.96E-3</v>
      </c>
      <c r="BJ58">
        <f t="shared" si="82"/>
        <v>0.15841895237562623</v>
      </c>
      <c r="BK58" s="472">
        <f t="shared" si="54"/>
        <v>158.41895237562622</v>
      </c>
      <c r="BL58" s="179">
        <f t="shared" si="83"/>
        <v>0.20564000000000002</v>
      </c>
      <c r="BM58" s="179">
        <f t="shared" si="84"/>
        <v>0.10282000000000001</v>
      </c>
      <c r="BN58" s="546"/>
      <c r="BP58" s="472">
        <f t="shared" si="55"/>
        <v>308.46000000000004</v>
      </c>
      <c r="BQ58" s="546">
        <f t="shared" si="39"/>
        <v>1.6043315180166613E-2</v>
      </c>
      <c r="BR58" s="546">
        <f t="shared" si="56"/>
        <v>5.168203267570011E-2</v>
      </c>
      <c r="BS58" s="546">
        <f t="shared" si="85"/>
        <v>3.0496795840470537E-2</v>
      </c>
      <c r="BT58" s="546">
        <f t="shared" si="41"/>
        <v>6.9632642978897638E-2</v>
      </c>
      <c r="BU58" s="546">
        <f t="shared" si="86"/>
        <v>0.1810642050682737</v>
      </c>
      <c r="BV58" s="655">
        <f t="shared" si="87"/>
        <v>2.3496666666666669E-2</v>
      </c>
      <c r="BW58" s="472">
        <f t="shared" si="57"/>
        <v>204.56087173494038</v>
      </c>
      <c r="BX58" s="179">
        <f t="shared" si="58"/>
        <v>0.67143982411056669</v>
      </c>
      <c r="BY58" s="6">
        <f t="shared" si="59"/>
        <v>3.5245000000000002</v>
      </c>
      <c r="BZ58" s="179">
        <f t="shared" si="60"/>
        <v>0.83997868123552166</v>
      </c>
      <c r="CA58" s="6">
        <f t="shared" si="61"/>
        <v>83.997868123552166</v>
      </c>
      <c r="CB58">
        <f t="shared" si="92"/>
        <v>53</v>
      </c>
      <c r="CD58" s="581">
        <f t="shared" si="88"/>
        <v>-50</v>
      </c>
      <c r="CE58">
        <f t="shared" si="89"/>
        <v>-50</v>
      </c>
    </row>
    <row r="59" spans="5:83" x14ac:dyDescent="0.2">
      <c r="E59" s="176">
        <v>54</v>
      </c>
      <c r="F59" s="223">
        <f t="shared" si="93"/>
        <v>0.54</v>
      </c>
      <c r="G59" s="223">
        <f t="shared" si="90"/>
        <v>0.27</v>
      </c>
      <c r="H59" s="223">
        <f t="shared" si="65"/>
        <v>2.7</v>
      </c>
      <c r="I59" s="223">
        <f t="shared" si="94"/>
        <v>0.89100000000000001</v>
      </c>
      <c r="J59" s="559">
        <f t="shared" si="1"/>
        <v>24</v>
      </c>
      <c r="K59" s="454">
        <f t="shared" si="2"/>
        <v>15.899999999999999</v>
      </c>
      <c r="L59" s="454">
        <f t="shared" si="3"/>
        <v>39.9</v>
      </c>
      <c r="M59" s="454"/>
      <c r="N59" s="223">
        <f t="shared" si="4"/>
        <v>0.39849624060150374</v>
      </c>
      <c r="O59" s="178">
        <f t="shared" si="91"/>
        <v>4.8538639832664359</v>
      </c>
      <c r="P59" s="178">
        <f t="shared" si="66"/>
        <v>2.1303609022556387</v>
      </c>
      <c r="Q59" s="223">
        <f t="shared" si="6"/>
        <v>0.9707727966532872</v>
      </c>
      <c r="R59" s="223">
        <f t="shared" si="67"/>
        <v>1.4708678737171019</v>
      </c>
      <c r="S59" s="454">
        <f t="shared" si="68"/>
        <v>5</v>
      </c>
      <c r="T59" s="223">
        <f t="shared" si="69"/>
        <v>0.83438679245283021</v>
      </c>
      <c r="U59" s="223">
        <f t="shared" si="10"/>
        <v>1.0429834905660376</v>
      </c>
      <c r="V59" s="223">
        <f t="shared" si="11"/>
        <v>1.574314702741189</v>
      </c>
      <c r="W59" s="203">
        <f t="shared" si="12"/>
        <v>350</v>
      </c>
      <c r="X59" s="454">
        <f t="shared" si="48"/>
        <v>350</v>
      </c>
      <c r="Z59" s="223">
        <f t="shared" si="13"/>
        <v>0.91084854994629427</v>
      </c>
      <c r="AA59" s="179">
        <f t="shared" si="14"/>
        <v>1.7185821697099894</v>
      </c>
      <c r="AB59" s="179">
        <f t="shared" si="70"/>
        <v>0.82181824055304764</v>
      </c>
      <c r="AC59" s="179"/>
      <c r="AD59" s="179">
        <f t="shared" si="16"/>
        <v>0.5660377358490567</v>
      </c>
      <c r="AE59" s="563">
        <f t="shared" si="71"/>
        <v>2119.9999999999995</v>
      </c>
      <c r="AF59" s="546">
        <f t="shared" si="72"/>
        <v>8.9150943396226423E-2</v>
      </c>
      <c r="AH59" s="179">
        <f t="shared" si="73"/>
        <v>0.82704292512541333</v>
      </c>
      <c r="AI59" s="179">
        <f t="shared" si="74"/>
        <v>0.82704292512541333</v>
      </c>
      <c r="AJ59" s="179">
        <f t="shared" si="75"/>
        <v>1.5904021667595654</v>
      </c>
      <c r="AL59" s="563">
        <f t="shared" si="76"/>
        <v>540</v>
      </c>
      <c r="AM59" s="472">
        <f t="shared" si="77"/>
        <v>350</v>
      </c>
      <c r="AO59">
        <f t="shared" si="49"/>
        <v>540</v>
      </c>
      <c r="AP59" s="472">
        <f t="shared" si="24"/>
        <v>350</v>
      </c>
      <c r="AQ59" s="472"/>
      <c r="AR59" s="6">
        <f t="shared" si="50"/>
        <v>2.8571428571428572</v>
      </c>
      <c r="AS59" s="6">
        <f t="shared" si="25"/>
        <v>1.0338036564067667</v>
      </c>
      <c r="AT59" s="6">
        <f t="shared" si="51"/>
        <v>1.8233392007360905</v>
      </c>
      <c r="AU59" s="179">
        <f t="shared" si="52"/>
        <v>0.36183127974236834</v>
      </c>
      <c r="AW59" s="6">
        <f t="shared" si="78"/>
        <v>11.165079489193081</v>
      </c>
      <c r="AX59" s="6">
        <f t="shared" si="79"/>
        <v>8.4583935524190004</v>
      </c>
      <c r="AY59" s="6">
        <f t="shared" si="28"/>
        <v>0.18993116674334273</v>
      </c>
      <c r="AZ59" s="6"/>
      <c r="BA59" s="179">
        <f t="shared" si="53"/>
        <v>0.28722383567743814</v>
      </c>
      <c r="BB59" s="179">
        <f t="shared" si="80"/>
        <v>1.1443435733942233</v>
      </c>
      <c r="BC59" s="179">
        <f t="shared" si="81"/>
        <v>0.55596025274069349</v>
      </c>
      <c r="BD59" s="179"/>
      <c r="BE59" s="546">
        <f t="shared" si="31"/>
        <v>2.8874136123440992E-2</v>
      </c>
      <c r="BF59" s="546">
        <f t="shared" si="32"/>
        <v>8.6622408370322951E-2</v>
      </c>
      <c r="BG59" s="546">
        <f t="shared" si="33"/>
        <v>4.3749999999999995E-3</v>
      </c>
      <c r="BH59" s="546">
        <f t="shared" si="34"/>
        <v>2.7860175000000001E-2</v>
      </c>
      <c r="BI59">
        <f t="shared" si="35"/>
        <v>6.96E-3</v>
      </c>
      <c r="BJ59">
        <f t="shared" si="82"/>
        <v>0.16019243527047244</v>
      </c>
      <c r="BK59" s="472">
        <f t="shared" si="54"/>
        <v>160.19243527047246</v>
      </c>
      <c r="BL59" s="179">
        <f t="shared" si="83"/>
        <v>0.20952000000000001</v>
      </c>
      <c r="BM59" s="179">
        <f t="shared" si="84"/>
        <v>0.10476000000000001</v>
      </c>
      <c r="BN59" s="546"/>
      <c r="BP59" s="472">
        <f t="shared" si="55"/>
        <v>314.28000000000003</v>
      </c>
      <c r="BQ59" s="546">
        <f t="shared" si="39"/>
        <v>1.6499506356251997E-2</v>
      </c>
      <c r="BR59" s="546">
        <f t="shared" si="56"/>
        <v>5.2380888558746411E-2</v>
      </c>
      <c r="BS59" s="546">
        <f t="shared" si="85"/>
        <v>3.090918026274958E-2</v>
      </c>
      <c r="BT59" s="546">
        <f t="shared" si="41"/>
        <v>7.1278777473695057E-2</v>
      </c>
      <c r="BU59" s="546">
        <f t="shared" si="86"/>
        <v>0.18451612452717372</v>
      </c>
      <c r="BV59" s="655">
        <f t="shared" si="87"/>
        <v>2.3940000000000003E-2</v>
      </c>
      <c r="BW59" s="472">
        <f t="shared" si="57"/>
        <v>208.45612452717373</v>
      </c>
      <c r="BX59" s="179">
        <f t="shared" si="58"/>
        <v>0.68292855979764622</v>
      </c>
      <c r="BY59" s="6">
        <f t="shared" si="59"/>
        <v>3.5910000000000002</v>
      </c>
      <c r="BZ59" s="179">
        <f t="shared" si="60"/>
        <v>0.84021058137902516</v>
      </c>
      <c r="CA59" s="6">
        <f t="shared" si="61"/>
        <v>84.021058137902514</v>
      </c>
      <c r="CB59">
        <f t="shared" si="92"/>
        <v>54</v>
      </c>
      <c r="CD59" s="581">
        <f t="shared" si="88"/>
        <v>-50</v>
      </c>
      <c r="CE59">
        <f t="shared" si="89"/>
        <v>-50</v>
      </c>
    </row>
    <row r="60" spans="5:83" x14ac:dyDescent="0.2">
      <c r="E60" s="176">
        <v>55</v>
      </c>
      <c r="F60" s="223">
        <f t="shared" si="93"/>
        <v>0.55000000000000004</v>
      </c>
      <c r="G60" s="223">
        <f t="shared" si="90"/>
        <v>0.27500000000000002</v>
      </c>
      <c r="H60" s="223">
        <f t="shared" si="65"/>
        <v>2.75</v>
      </c>
      <c r="I60" s="223">
        <f t="shared" si="94"/>
        <v>0.90749999999999997</v>
      </c>
      <c r="J60" s="559">
        <f t="shared" si="1"/>
        <v>24</v>
      </c>
      <c r="K60" s="454">
        <f t="shared" si="2"/>
        <v>15.899999999999999</v>
      </c>
      <c r="L60" s="454">
        <f t="shared" si="3"/>
        <v>39.9</v>
      </c>
      <c r="M60" s="454"/>
      <c r="N60" s="223">
        <f t="shared" si="4"/>
        <v>0.39849624060150374</v>
      </c>
      <c r="O60" s="178">
        <f t="shared" si="91"/>
        <v>4.8538639832664359</v>
      </c>
      <c r="P60" s="178">
        <f t="shared" si="66"/>
        <v>2.1303609022556387</v>
      </c>
      <c r="Q60" s="223">
        <f t="shared" si="6"/>
        <v>0.9707727966532872</v>
      </c>
      <c r="R60" s="223">
        <f t="shared" si="67"/>
        <v>1.4708678737171019</v>
      </c>
      <c r="S60" s="454">
        <f t="shared" si="68"/>
        <v>5</v>
      </c>
      <c r="T60" s="223">
        <f t="shared" si="69"/>
        <v>0.84983839972047515</v>
      </c>
      <c r="U60" s="223">
        <f t="shared" si="10"/>
        <v>1.0622979996505939</v>
      </c>
      <c r="V60" s="223">
        <f t="shared" si="11"/>
        <v>1.6034686787178776</v>
      </c>
      <c r="W60" s="203">
        <f t="shared" si="12"/>
        <v>350</v>
      </c>
      <c r="X60" s="454">
        <f t="shared" si="48"/>
        <v>350</v>
      </c>
      <c r="Z60" s="223">
        <f t="shared" si="13"/>
        <v>0.91084854994629427</v>
      </c>
      <c r="AA60" s="179">
        <f t="shared" si="14"/>
        <v>1.7185821697099894</v>
      </c>
      <c r="AB60" s="179">
        <f t="shared" si="70"/>
        <v>0.82181824055304764</v>
      </c>
      <c r="AC60" s="179"/>
      <c r="AD60" s="179">
        <f t="shared" si="16"/>
        <v>0.5660377358490567</v>
      </c>
      <c r="AE60" s="563">
        <f t="shared" si="71"/>
        <v>2159.2592592592587</v>
      </c>
      <c r="AF60" s="546">
        <f t="shared" si="72"/>
        <v>8.9150943396226423E-2</v>
      </c>
      <c r="AH60" s="179">
        <f t="shared" si="73"/>
        <v>0.83466560170326098</v>
      </c>
      <c r="AI60" s="179">
        <f t="shared" si="74"/>
        <v>0.83466560170326098</v>
      </c>
      <c r="AJ60" s="179">
        <f t="shared" si="75"/>
        <v>1.5960485938542672</v>
      </c>
      <c r="AL60" s="563">
        <f t="shared" si="76"/>
        <v>550</v>
      </c>
      <c r="AM60" s="472">
        <f t="shared" si="77"/>
        <v>350</v>
      </c>
      <c r="AO60">
        <f t="shared" si="49"/>
        <v>550</v>
      </c>
      <c r="AP60">
        <f t="shared" si="24"/>
        <v>350</v>
      </c>
      <c r="AR60" s="6">
        <f t="shared" si="50"/>
        <v>2.8571428571428572</v>
      </c>
      <c r="AS60" s="6">
        <f t="shared" si="25"/>
        <v>1.0433320021290762</v>
      </c>
      <c r="AT60" s="6">
        <f t="shared" si="51"/>
        <v>1.813810855013781</v>
      </c>
      <c r="AU60" s="179">
        <f t="shared" si="52"/>
        <v>0.36516620074517664</v>
      </c>
      <c r="AW60" s="6">
        <f t="shared" si="78"/>
        <v>11.47665202341984</v>
      </c>
      <c r="AX60" s="6">
        <f t="shared" si="79"/>
        <v>8.6944333510756362</v>
      </c>
      <c r="AY60" s="6">
        <f t="shared" si="28"/>
        <v>0.1924374942626503</v>
      </c>
      <c r="AZ60" s="6"/>
      <c r="BA60" s="179">
        <f t="shared" si="53"/>
        <v>0.29120389183094897</v>
      </c>
      <c r="BB60" s="179">
        <f t="shared" si="80"/>
        <v>1.1518691941546928</v>
      </c>
      <c r="BC60" s="179">
        <f t="shared" si="81"/>
        <v>0.55961645016015482</v>
      </c>
      <c r="BD60" s="179"/>
      <c r="BE60" s="546">
        <f t="shared" si="31"/>
        <v>2.9679897316121858E-2</v>
      </c>
      <c r="BF60" s="546">
        <f t="shared" si="32"/>
        <v>8.7420788458395293E-2</v>
      </c>
      <c r="BG60" s="546">
        <f t="shared" si="33"/>
        <v>4.3749999999999995E-3</v>
      </c>
      <c r="BH60" s="546">
        <f t="shared" si="34"/>
        <v>2.7860175000000001E-2</v>
      </c>
      <c r="BI60">
        <f t="shared" si="35"/>
        <v>6.96E-3</v>
      </c>
      <c r="BJ60">
        <f t="shared" si="82"/>
        <v>0.16196834302523855</v>
      </c>
      <c r="BK60" s="472">
        <f t="shared" si="54"/>
        <v>161.96834302523854</v>
      </c>
      <c r="BL60" s="179">
        <f t="shared" si="83"/>
        <v>0.21340000000000003</v>
      </c>
      <c r="BM60" s="179">
        <f t="shared" si="84"/>
        <v>0.10670000000000002</v>
      </c>
      <c r="BN60" s="546"/>
      <c r="BP60" s="472">
        <f t="shared" si="55"/>
        <v>320.10000000000002</v>
      </c>
      <c r="BQ60" s="546">
        <f t="shared" si="39"/>
        <v>1.6959941323498207E-2</v>
      </c>
      <c r="BR60" s="546">
        <f t="shared" si="56"/>
        <v>5.3072105617703258E-2</v>
      </c>
      <c r="BS60" s="546">
        <f t="shared" si="85"/>
        <v>3.1317057128985304E-2</v>
      </c>
      <c r="BT60" s="546">
        <f t="shared" si="41"/>
        <v>7.2932551012919136E-2</v>
      </c>
      <c r="BU60" s="546">
        <f t="shared" si="86"/>
        <v>0.18796757519877966</v>
      </c>
      <c r="BV60" s="655">
        <f t="shared" si="87"/>
        <v>2.4383333333333333E-2</v>
      </c>
      <c r="BW60" s="472">
        <f t="shared" si="57"/>
        <v>212.35090853211301</v>
      </c>
      <c r="BX60" s="179">
        <f t="shared" si="58"/>
        <v>0.69441925155735162</v>
      </c>
      <c r="BY60" s="6">
        <f t="shared" si="59"/>
        <v>3.6574999999999998</v>
      </c>
      <c r="BZ60" s="179">
        <f t="shared" si="60"/>
        <v>0.84043379221504377</v>
      </c>
      <c r="CA60" s="6">
        <f t="shared" si="61"/>
        <v>84.043379221504381</v>
      </c>
      <c r="CB60">
        <f t="shared" si="92"/>
        <v>55.000000000000007</v>
      </c>
      <c r="CD60" s="581">
        <f t="shared" si="88"/>
        <v>-50</v>
      </c>
      <c r="CE60">
        <f t="shared" si="89"/>
        <v>-50</v>
      </c>
    </row>
    <row r="61" spans="5:83" x14ac:dyDescent="0.2">
      <c r="E61" s="176">
        <v>56</v>
      </c>
      <c r="F61" s="223">
        <f t="shared" si="93"/>
        <v>0.56000000000000005</v>
      </c>
      <c r="G61" s="223">
        <f t="shared" si="90"/>
        <v>0.28000000000000003</v>
      </c>
      <c r="H61" s="223">
        <f t="shared" si="65"/>
        <v>2.8000000000000003</v>
      </c>
      <c r="I61" s="223">
        <f t="shared" si="94"/>
        <v>0.92400000000000004</v>
      </c>
      <c r="J61" s="559">
        <f t="shared" si="1"/>
        <v>24</v>
      </c>
      <c r="K61" s="454">
        <f t="shared" si="2"/>
        <v>15.899999999999999</v>
      </c>
      <c r="L61" s="454">
        <f t="shared" si="3"/>
        <v>39.9</v>
      </c>
      <c r="M61" s="454"/>
      <c r="N61" s="223">
        <f t="shared" si="4"/>
        <v>0.39849624060150374</v>
      </c>
      <c r="O61" s="178">
        <f t="shared" si="91"/>
        <v>4.8538639832664359</v>
      </c>
      <c r="P61" s="178">
        <f t="shared" si="66"/>
        <v>2.1303609022556387</v>
      </c>
      <c r="Q61" s="223">
        <f t="shared" si="6"/>
        <v>0.9707727966532872</v>
      </c>
      <c r="R61" s="223">
        <f t="shared" si="67"/>
        <v>1.4708678737171019</v>
      </c>
      <c r="S61" s="454">
        <f t="shared" si="68"/>
        <v>5</v>
      </c>
      <c r="T61" s="223">
        <f t="shared" si="69"/>
        <v>0.8652900069881202</v>
      </c>
      <c r="U61" s="223">
        <f t="shared" si="10"/>
        <v>1.0816125087351502</v>
      </c>
      <c r="V61" s="223">
        <f t="shared" si="11"/>
        <v>1.6326226546945666</v>
      </c>
      <c r="W61" s="203">
        <f t="shared" si="12"/>
        <v>350</v>
      </c>
      <c r="X61" s="454">
        <f t="shared" si="48"/>
        <v>350</v>
      </c>
      <c r="Z61" s="223">
        <f t="shared" si="13"/>
        <v>0.91084854994629427</v>
      </c>
      <c r="AA61" s="179">
        <f t="shared" si="14"/>
        <v>1.7185821697099894</v>
      </c>
      <c r="AB61" s="179">
        <f t="shared" si="70"/>
        <v>0.82181824055304764</v>
      </c>
      <c r="AC61" s="179"/>
      <c r="AD61" s="179">
        <f t="shared" si="16"/>
        <v>0.5660377358490567</v>
      </c>
      <c r="AE61" s="563">
        <f t="shared" si="71"/>
        <v>2198.5185185185182</v>
      </c>
      <c r="AF61" s="546">
        <f t="shared" si="72"/>
        <v>8.9150943396226423E-2</v>
      </c>
      <c r="AH61" s="179">
        <f t="shared" si="73"/>
        <v>0.84221929052553368</v>
      </c>
      <c r="AI61" s="179">
        <f t="shared" si="74"/>
        <v>0.84221929052553368</v>
      </c>
      <c r="AJ61" s="179">
        <f t="shared" si="75"/>
        <v>1.6016439189078027</v>
      </c>
      <c r="AL61" s="563">
        <f t="shared" si="76"/>
        <v>560</v>
      </c>
      <c r="AM61" s="472">
        <f t="shared" si="77"/>
        <v>350</v>
      </c>
      <c r="AO61">
        <f t="shared" si="49"/>
        <v>560</v>
      </c>
      <c r="AP61">
        <f t="shared" si="24"/>
        <v>350</v>
      </c>
      <c r="AR61" s="6">
        <f t="shared" si="50"/>
        <v>2.8571428571428572</v>
      </c>
      <c r="AS61" s="6">
        <f t="shared" si="25"/>
        <v>1.0527741131569173</v>
      </c>
      <c r="AT61" s="6">
        <f t="shared" si="51"/>
        <v>1.8043687439859399</v>
      </c>
      <c r="AU61" s="179">
        <f t="shared" si="52"/>
        <v>0.36847093960492106</v>
      </c>
      <c r="AW61" s="6">
        <f t="shared" si="78"/>
        <v>11.791070067357474</v>
      </c>
      <c r="AX61" s="6">
        <f t="shared" si="79"/>
        <v>8.9326288389071777</v>
      </c>
      <c r="AY61" s="6">
        <f t="shared" si="28"/>
        <v>0.1949163766651478</v>
      </c>
      <c r="AZ61" s="6"/>
      <c r="BA61" s="179">
        <f t="shared" si="53"/>
        <v>0.29516589675775212</v>
      </c>
      <c r="BB61" s="179">
        <f t="shared" si="80"/>
        <v>1.159264353165717</v>
      </c>
      <c r="BC61" s="179">
        <f t="shared" si="81"/>
        <v>0.56320926491301071</v>
      </c>
      <c r="BD61" s="179"/>
      <c r="BE61" s="546">
        <f t="shared" si="31"/>
        <v>3.0493017313082793E-2</v>
      </c>
      <c r="BF61" s="546">
        <f t="shared" si="32"/>
        <v>8.8211942941418084E-2</v>
      </c>
      <c r="BG61" s="546">
        <f t="shared" si="33"/>
        <v>4.3749999999999995E-3</v>
      </c>
      <c r="BH61" s="546">
        <f t="shared" si="34"/>
        <v>2.7860175000000001E-2</v>
      </c>
      <c r="BI61">
        <f t="shared" si="35"/>
        <v>6.96E-3</v>
      </c>
      <c r="BJ61">
        <f t="shared" si="82"/>
        <v>0.16374681366975025</v>
      </c>
      <c r="BK61" s="472">
        <f t="shared" si="54"/>
        <v>163.74681366975025</v>
      </c>
      <c r="BL61" s="179">
        <f t="shared" si="83"/>
        <v>0.21728000000000003</v>
      </c>
      <c r="BM61" s="179">
        <f t="shared" si="84"/>
        <v>0.10864000000000001</v>
      </c>
      <c r="BN61" s="546"/>
      <c r="BP61" s="472">
        <f t="shared" si="55"/>
        <v>325.92</v>
      </c>
      <c r="BQ61" s="546">
        <f t="shared" si="39"/>
        <v>1.7424581321761598E-2</v>
      </c>
      <c r="BR61" s="546">
        <f t="shared" si="56"/>
        <v>5.3755753620829128E-2</v>
      </c>
      <c r="BS61" s="546">
        <f t="shared" si="85"/>
        <v>3.1720467608385393E-2</v>
      </c>
      <c r="BT61" s="546">
        <f t="shared" si="41"/>
        <v>7.4593859179037506E-2</v>
      </c>
      <c r="BU61" s="546">
        <f t="shared" si="86"/>
        <v>0.19141852764555911</v>
      </c>
      <c r="BV61" s="655">
        <f t="shared" si="87"/>
        <v>2.4826666666666667E-2</v>
      </c>
      <c r="BW61" s="472">
        <f t="shared" si="57"/>
        <v>216.24519431222578</v>
      </c>
      <c r="BX61" s="179">
        <f t="shared" si="58"/>
        <v>0.70591200798197606</v>
      </c>
      <c r="BY61" s="6">
        <f t="shared" si="59"/>
        <v>3.7240000000000002</v>
      </c>
      <c r="BZ61" s="179">
        <f t="shared" si="60"/>
        <v>0.84064875177880782</v>
      </c>
      <c r="CA61" s="6">
        <f t="shared" si="61"/>
        <v>84.064875177880779</v>
      </c>
      <c r="CB61">
        <f t="shared" si="92"/>
        <v>56.000000000000007</v>
      </c>
      <c r="CD61" s="581">
        <f t="shared" si="88"/>
        <v>-50</v>
      </c>
      <c r="CE61">
        <f t="shared" si="89"/>
        <v>-50</v>
      </c>
    </row>
    <row r="62" spans="5:83" x14ac:dyDescent="0.2">
      <c r="E62" s="176">
        <v>57</v>
      </c>
      <c r="F62" s="223">
        <f t="shared" si="93"/>
        <v>0.56999999999999995</v>
      </c>
      <c r="G62" s="223">
        <f t="shared" si="90"/>
        <v>0.28499999999999998</v>
      </c>
      <c r="H62" s="223">
        <f t="shared" si="65"/>
        <v>2.8499999999999996</v>
      </c>
      <c r="I62" s="223">
        <f t="shared" si="94"/>
        <v>0.94049999999999989</v>
      </c>
      <c r="J62" s="559">
        <f t="shared" si="1"/>
        <v>24</v>
      </c>
      <c r="K62" s="454">
        <f t="shared" si="2"/>
        <v>15.899999999999999</v>
      </c>
      <c r="L62" s="454">
        <f t="shared" si="3"/>
        <v>39.9</v>
      </c>
      <c r="M62" s="454"/>
      <c r="N62" s="223">
        <f t="shared" si="4"/>
        <v>0.39849624060150374</v>
      </c>
      <c r="O62" s="178">
        <f t="shared" si="91"/>
        <v>4.8538639832664359</v>
      </c>
      <c r="P62" s="178">
        <f t="shared" si="66"/>
        <v>2.1303609022556387</v>
      </c>
      <c r="Q62" s="223">
        <f t="shared" si="6"/>
        <v>0.9707727966532872</v>
      </c>
      <c r="R62" s="223">
        <f t="shared" si="67"/>
        <v>1.4708678737171019</v>
      </c>
      <c r="S62" s="454">
        <f t="shared" si="68"/>
        <v>5</v>
      </c>
      <c r="T62" s="223">
        <f t="shared" si="69"/>
        <v>0.88074161425576514</v>
      </c>
      <c r="U62" s="223">
        <f t="shared" si="10"/>
        <v>1.1009270178197066</v>
      </c>
      <c r="V62" s="223">
        <f t="shared" si="11"/>
        <v>1.6617766306712551</v>
      </c>
      <c r="W62" s="203">
        <f t="shared" si="12"/>
        <v>350</v>
      </c>
      <c r="X62" s="454">
        <f t="shared" si="48"/>
        <v>350</v>
      </c>
      <c r="Z62" s="223">
        <f t="shared" si="13"/>
        <v>0.91084854994629427</v>
      </c>
      <c r="AA62" s="179">
        <f t="shared" si="14"/>
        <v>1.7185821697099894</v>
      </c>
      <c r="AB62" s="179">
        <f t="shared" si="70"/>
        <v>0.82181824055304764</v>
      </c>
      <c r="AC62" s="179"/>
      <c r="AD62" s="179">
        <f t="shared" si="16"/>
        <v>0.5660377358490567</v>
      </c>
      <c r="AE62" s="563">
        <f t="shared" si="71"/>
        <v>2237.7777777777769</v>
      </c>
      <c r="AF62" s="546">
        <f t="shared" si="72"/>
        <v>8.9150943396226423E-2</v>
      </c>
      <c r="AH62" s="179">
        <f t="shared" si="73"/>
        <v>0.84970583144992007</v>
      </c>
      <c r="AI62" s="179">
        <f t="shared" si="74"/>
        <v>0.84970583144992007</v>
      </c>
      <c r="AJ62" s="179">
        <f t="shared" si="75"/>
        <v>1.6071895047777187</v>
      </c>
      <c r="AL62" s="563">
        <f t="shared" si="76"/>
        <v>570</v>
      </c>
      <c r="AM62" s="472">
        <f t="shared" si="77"/>
        <v>350</v>
      </c>
      <c r="AO62">
        <f t="shared" si="49"/>
        <v>570</v>
      </c>
      <c r="AP62">
        <f t="shared" si="24"/>
        <v>350</v>
      </c>
      <c r="AR62" s="6">
        <f t="shared" si="50"/>
        <v>2.8571428571428572</v>
      </c>
      <c r="AS62" s="6">
        <f t="shared" si="25"/>
        <v>1.0621322893124001</v>
      </c>
      <c r="AT62" s="6">
        <f t="shared" si="51"/>
        <v>1.7950105678304571</v>
      </c>
      <c r="AU62" s="179">
        <f t="shared" si="52"/>
        <v>0.37174630125934005</v>
      </c>
      <c r="AW62" s="6">
        <f t="shared" si="78"/>
        <v>12.108308098161359</v>
      </c>
      <c r="AX62" s="6">
        <f t="shared" si="79"/>
        <v>9.1729606804252732</v>
      </c>
      <c r="AY62" s="6">
        <f t="shared" si="28"/>
        <v>0.19736806012024696</v>
      </c>
      <c r="AZ62" s="6"/>
      <c r="BA62" s="179">
        <f t="shared" si="53"/>
        <v>0.29911025253198498</v>
      </c>
      <c r="BB62" s="179">
        <f t="shared" si="80"/>
        <v>1.1665322590791345</v>
      </c>
      <c r="BC62" s="179">
        <f t="shared" si="81"/>
        <v>0.56674025586927956</v>
      </c>
      <c r="BD62" s="179"/>
      <c r="BE62" s="546">
        <f t="shared" si="31"/>
        <v>3.1313430109411733E-2</v>
      </c>
      <c r="BF62" s="546">
        <f t="shared" si="32"/>
        <v>8.8996064521485993E-2</v>
      </c>
      <c r="BG62" s="546">
        <f t="shared" si="33"/>
        <v>4.3749999999999995E-3</v>
      </c>
      <c r="BH62" s="546">
        <f t="shared" si="34"/>
        <v>2.7860175000000001E-2</v>
      </c>
      <c r="BI62">
        <f t="shared" si="35"/>
        <v>6.96E-3</v>
      </c>
      <c r="BJ62">
        <f t="shared" si="82"/>
        <v>0.16552797839888977</v>
      </c>
      <c r="BK62" s="472">
        <f t="shared" si="54"/>
        <v>165.52797839888979</v>
      </c>
      <c r="BL62" s="179">
        <f t="shared" si="83"/>
        <v>0.22115999999999997</v>
      </c>
      <c r="BM62" s="179">
        <f t="shared" si="84"/>
        <v>0.11057999999999998</v>
      </c>
      <c r="BN62" s="546"/>
      <c r="BP62" s="472">
        <f t="shared" si="55"/>
        <v>331.7399999999999</v>
      </c>
      <c r="BQ62" s="546">
        <f t="shared" si="39"/>
        <v>1.7893388633949566E-2</v>
      </c>
      <c r="BR62" s="546">
        <f t="shared" si="56"/>
        <v>5.4431900458890764E-2</v>
      </c>
      <c r="BS62" s="546">
        <f t="shared" si="85"/>
        <v>3.2119451762277644E-2</v>
      </c>
      <c r="BT62" s="546">
        <f t="shared" si="41"/>
        <v>7.6262600825414528E-2</v>
      </c>
      <c r="BU62" s="546">
        <f t="shared" si="86"/>
        <v>0.19486895357166675</v>
      </c>
      <c r="BV62" s="655">
        <f t="shared" si="87"/>
        <v>2.5270000000000001E-2</v>
      </c>
      <c r="BW62" s="472">
        <f t="shared" si="57"/>
        <v>220.13895357166675</v>
      </c>
      <c r="BX62" s="179">
        <f t="shared" si="58"/>
        <v>0.71740693197055649</v>
      </c>
      <c r="BY62" s="6">
        <f t="shared" si="59"/>
        <v>3.7904999999999998</v>
      </c>
      <c r="BZ62" s="179">
        <f t="shared" si="60"/>
        <v>0.84085586885509322</v>
      </c>
      <c r="CA62" s="6">
        <f t="shared" si="61"/>
        <v>84.085586885509329</v>
      </c>
      <c r="CB62">
        <f t="shared" si="92"/>
        <v>56.999999999999993</v>
      </c>
      <c r="CD62" s="581">
        <f t="shared" si="88"/>
        <v>-50</v>
      </c>
      <c r="CE62">
        <f t="shared" si="89"/>
        <v>-50</v>
      </c>
    </row>
    <row r="63" spans="5:83" x14ac:dyDescent="0.2">
      <c r="E63" s="176">
        <v>58</v>
      </c>
      <c r="F63" s="223">
        <f t="shared" si="93"/>
        <v>0.57999999999999996</v>
      </c>
      <c r="G63" s="223">
        <f t="shared" si="90"/>
        <v>0.28999999999999998</v>
      </c>
      <c r="H63" s="223">
        <f t="shared" si="65"/>
        <v>2.9</v>
      </c>
      <c r="I63" s="223">
        <f t="shared" si="94"/>
        <v>0.95699999999999985</v>
      </c>
      <c r="J63" s="559">
        <f t="shared" si="1"/>
        <v>24</v>
      </c>
      <c r="K63" s="454">
        <f t="shared" si="2"/>
        <v>15.899999999999999</v>
      </c>
      <c r="L63" s="454">
        <f t="shared" si="3"/>
        <v>39.9</v>
      </c>
      <c r="M63" s="454"/>
      <c r="N63" s="223">
        <f t="shared" si="4"/>
        <v>0.39849624060150374</v>
      </c>
      <c r="O63" s="178">
        <f t="shared" si="91"/>
        <v>4.8538639832664359</v>
      </c>
      <c r="P63" s="178">
        <f t="shared" si="66"/>
        <v>2.1303609022556387</v>
      </c>
      <c r="Q63" s="223">
        <f t="shared" si="6"/>
        <v>0.9707727966532872</v>
      </c>
      <c r="R63" s="223">
        <f t="shared" si="67"/>
        <v>1.4708678737171019</v>
      </c>
      <c r="S63" s="454">
        <f t="shared" si="68"/>
        <v>5</v>
      </c>
      <c r="T63" s="223">
        <f t="shared" si="69"/>
        <v>0.89619322152341008</v>
      </c>
      <c r="U63" s="223">
        <f t="shared" si="10"/>
        <v>1.1202415269042627</v>
      </c>
      <c r="V63" s="223">
        <f t="shared" si="11"/>
        <v>1.6909306066479439</v>
      </c>
      <c r="W63" s="203">
        <f t="shared" si="12"/>
        <v>350</v>
      </c>
      <c r="X63" s="454">
        <f t="shared" si="48"/>
        <v>350</v>
      </c>
      <c r="Z63" s="223">
        <f t="shared" si="13"/>
        <v>0.91084854994629427</v>
      </c>
      <c r="AA63" s="179">
        <f t="shared" si="14"/>
        <v>1.7185821697099894</v>
      </c>
      <c r="AB63" s="179">
        <f t="shared" si="70"/>
        <v>0.82181824055304764</v>
      </c>
      <c r="AC63" s="179"/>
      <c r="AD63" s="179">
        <f t="shared" si="16"/>
        <v>0.5660377358490567</v>
      </c>
      <c r="AE63" s="563">
        <f t="shared" si="71"/>
        <v>2277.0370370370365</v>
      </c>
      <c r="AF63" s="546">
        <f t="shared" si="72"/>
        <v>8.9150943396226423E-2</v>
      </c>
      <c r="AH63" s="179">
        <f t="shared" si="73"/>
        <v>0.85712698398000897</v>
      </c>
      <c r="AI63" s="179">
        <f t="shared" si="74"/>
        <v>0.85712698398000897</v>
      </c>
      <c r="AJ63" s="179">
        <f t="shared" si="75"/>
        <v>1.6126866548000067</v>
      </c>
      <c r="AL63" s="563">
        <f t="shared" si="76"/>
        <v>580</v>
      </c>
      <c r="AM63" s="472">
        <f t="shared" si="77"/>
        <v>350</v>
      </c>
      <c r="AO63">
        <f t="shared" si="49"/>
        <v>580</v>
      </c>
      <c r="AP63">
        <f t="shared" si="24"/>
        <v>350</v>
      </c>
      <c r="AR63" s="6">
        <f t="shared" si="50"/>
        <v>2.8571428571428572</v>
      </c>
      <c r="AS63" s="6">
        <f t="shared" si="25"/>
        <v>1.0714087299750112</v>
      </c>
      <c r="AT63" s="6">
        <f t="shared" si="51"/>
        <v>1.785734127167846</v>
      </c>
      <c r="AU63" s="179">
        <f t="shared" si="52"/>
        <v>0.37499305549125395</v>
      </c>
      <c r="AW63" s="6">
        <f t="shared" si="78"/>
        <v>12.428341267710131</v>
      </c>
      <c r="AX63" s="6">
        <f t="shared" si="79"/>
        <v>9.4154100512955541</v>
      </c>
      <c r="AY63" s="6">
        <f t="shared" si="28"/>
        <v>0.19979278428961234</v>
      </c>
      <c r="AZ63" s="6"/>
      <c r="BA63" s="179">
        <f t="shared" si="53"/>
        <v>0.30303734538881938</v>
      </c>
      <c r="BB63" s="179">
        <f t="shared" si="80"/>
        <v>1.1736759798586984</v>
      </c>
      <c r="BC63" s="179">
        <f t="shared" si="81"/>
        <v>0.57021091354801767</v>
      </c>
      <c r="BD63" s="179"/>
      <c r="BE63" s="546">
        <f t="shared" si="31"/>
        <v>3.2141071445105911E-2</v>
      </c>
      <c r="BF63" s="546">
        <f t="shared" si="32"/>
        <v>8.9773337484606169E-2</v>
      </c>
      <c r="BG63" s="546">
        <f t="shared" si="33"/>
        <v>4.3749999999999995E-3</v>
      </c>
      <c r="BH63" s="546">
        <f t="shared" si="34"/>
        <v>2.7860175000000001E-2</v>
      </c>
      <c r="BI63">
        <f t="shared" si="35"/>
        <v>6.96E-3</v>
      </c>
      <c r="BJ63">
        <f t="shared" si="82"/>
        <v>0.16731196202857673</v>
      </c>
      <c r="BK63" s="472">
        <f t="shared" si="54"/>
        <v>167.31196202857674</v>
      </c>
      <c r="BL63" s="179">
        <f t="shared" si="83"/>
        <v>0.22503999999999999</v>
      </c>
      <c r="BM63" s="179">
        <f t="shared" si="84"/>
        <v>0.11252</v>
      </c>
      <c r="BN63" s="546"/>
      <c r="BP63" s="472">
        <f t="shared" si="55"/>
        <v>337.55999999999995</v>
      </c>
      <c r="BQ63" s="546">
        <f t="shared" si="39"/>
        <v>1.8366326540060523E-2</v>
      </c>
      <c r="BR63" s="546">
        <f t="shared" si="56"/>
        <v>5.510061222789104E-2</v>
      </c>
      <c r="BS63" s="546">
        <f t="shared" si="85"/>
        <v>3.2514048592926489E-2</v>
      </c>
      <c r="BT63" s="546">
        <f t="shared" si="41"/>
        <v>7.7938677918122798E-2</v>
      </c>
      <c r="BU63" s="546">
        <f t="shared" si="86"/>
        <v>0.19831882575960647</v>
      </c>
      <c r="BV63" s="655">
        <f t="shared" si="87"/>
        <v>2.5713333333333335E-2</v>
      </c>
      <c r="BW63" s="472">
        <f t="shared" si="57"/>
        <v>224.03215909293979</v>
      </c>
      <c r="BX63" s="179">
        <f t="shared" si="58"/>
        <v>0.72890412112151648</v>
      </c>
      <c r="BY63" s="6">
        <f t="shared" si="59"/>
        <v>3.8569999999999998</v>
      </c>
      <c r="BZ63" s="179">
        <f t="shared" si="60"/>
        <v>0.84105552539479222</v>
      </c>
      <c r="CA63" s="6">
        <f t="shared" si="61"/>
        <v>84.10555253947922</v>
      </c>
      <c r="CB63">
        <f t="shared" si="92"/>
        <v>57.999999999999993</v>
      </c>
      <c r="CD63" s="581">
        <f t="shared" si="88"/>
        <v>-50</v>
      </c>
      <c r="CE63">
        <f t="shared" si="89"/>
        <v>-50</v>
      </c>
    </row>
    <row r="64" spans="5:83" x14ac:dyDescent="0.2">
      <c r="E64" s="176">
        <v>59</v>
      </c>
      <c r="F64" s="223">
        <f t="shared" si="93"/>
        <v>0.59</v>
      </c>
      <c r="G64" s="223">
        <f t="shared" si="90"/>
        <v>0.29499999999999998</v>
      </c>
      <c r="H64" s="223">
        <f t="shared" si="65"/>
        <v>2.9499999999999997</v>
      </c>
      <c r="I64" s="223">
        <f t="shared" si="94"/>
        <v>0.97349999999999992</v>
      </c>
      <c r="J64" s="559">
        <f t="shared" si="1"/>
        <v>24</v>
      </c>
      <c r="K64" s="454">
        <f t="shared" si="2"/>
        <v>15.899999999999999</v>
      </c>
      <c r="L64" s="454">
        <f t="shared" si="3"/>
        <v>39.9</v>
      </c>
      <c r="M64" s="454"/>
      <c r="N64" s="223">
        <f t="shared" si="4"/>
        <v>0.39849624060150374</v>
      </c>
      <c r="O64" s="178">
        <f t="shared" si="91"/>
        <v>4.8538639832664359</v>
      </c>
      <c r="P64" s="178">
        <f t="shared" si="66"/>
        <v>2.1303609022556387</v>
      </c>
      <c r="Q64" s="223">
        <f t="shared" si="6"/>
        <v>0.9707727966532872</v>
      </c>
      <c r="R64" s="223">
        <f t="shared" si="67"/>
        <v>1.4708678737171019</v>
      </c>
      <c r="S64" s="454">
        <f t="shared" si="68"/>
        <v>5</v>
      </c>
      <c r="T64" s="223">
        <f t="shared" si="69"/>
        <v>0.91164482879105513</v>
      </c>
      <c r="U64" s="223">
        <f t="shared" si="10"/>
        <v>1.139556035988819</v>
      </c>
      <c r="V64" s="223">
        <f t="shared" si="11"/>
        <v>1.7200845826246327</v>
      </c>
      <c r="W64" s="203">
        <f t="shared" si="12"/>
        <v>350</v>
      </c>
      <c r="X64" s="454">
        <f t="shared" si="48"/>
        <v>349.69429147529314</v>
      </c>
      <c r="Z64" s="223">
        <f t="shared" si="13"/>
        <v>0.91084854994629427</v>
      </c>
      <c r="AA64" s="179">
        <f t="shared" si="14"/>
        <v>1.7185821697099894</v>
      </c>
      <c r="AB64" s="179">
        <f t="shared" si="70"/>
        <v>0.82181824055304764</v>
      </c>
      <c r="AC64" s="179"/>
      <c r="AD64" s="179">
        <f t="shared" si="16"/>
        <v>0.5660377358490567</v>
      </c>
      <c r="AE64" s="563">
        <f t="shared" si="71"/>
        <v>2316.2962962962956</v>
      </c>
      <c r="AF64" s="546">
        <f t="shared" si="72"/>
        <v>8.9150943396226423E-2</v>
      </c>
      <c r="AH64" s="179">
        <f t="shared" si="73"/>
        <v>0.86448443209425885</v>
      </c>
      <c r="AI64" s="179">
        <f t="shared" si="74"/>
        <v>0.86448443209425885</v>
      </c>
      <c r="AJ64" s="179">
        <f t="shared" si="75"/>
        <v>1.6181366163661175</v>
      </c>
      <c r="AL64" s="563">
        <f t="shared" si="76"/>
        <v>590</v>
      </c>
      <c r="AM64" s="472">
        <f t="shared" si="77"/>
        <v>349.69429147529314</v>
      </c>
      <c r="AO64">
        <f t="shared" si="49"/>
        <v>590</v>
      </c>
      <c r="AP64">
        <f t="shared" si="24"/>
        <v>349.69429147529314</v>
      </c>
      <c r="AR64" s="6">
        <f t="shared" si="50"/>
        <v>2.8596406186134518</v>
      </c>
      <c r="AS64" s="6">
        <f t="shared" si="25"/>
        <v>1.0806055401178236</v>
      </c>
      <c r="AT64" s="6">
        <f t="shared" si="51"/>
        <v>1.7790350784956281</v>
      </c>
      <c r="AU64" s="179">
        <f t="shared" si="52"/>
        <v>0.37788158871577882</v>
      </c>
      <c r="AW64" s="6">
        <f t="shared" si="78"/>
        <v>12.751145373390317</v>
      </c>
      <c r="AX64" s="6">
        <f t="shared" si="79"/>
        <v>9.6599586162047864</v>
      </c>
      <c r="AY64" s="6">
        <f t="shared" si="28"/>
        <v>0.20247505715903169</v>
      </c>
      <c r="AZ64" s="6"/>
      <c r="BA64" s="179">
        <f t="shared" si="53"/>
        <v>0.3068134652087805</v>
      </c>
      <c r="BB64" s="179">
        <f t="shared" si="80"/>
        <v>1.1810120567120488</v>
      </c>
      <c r="BC64" s="179">
        <f t="shared" si="81"/>
        <v>0.57377502421927029</v>
      </c>
      <c r="BD64" s="179"/>
      <c r="BE64" s="546">
        <f t="shared" si="31"/>
        <v>3.2947075851696844E-2</v>
      </c>
      <c r="BF64" s="546">
        <f t="shared" si="32"/>
        <v>9.046485233855743E-2</v>
      </c>
      <c r="BG64" s="546">
        <f t="shared" si="33"/>
        <v>4.3711786434411639E-3</v>
      </c>
      <c r="BH64" s="546">
        <f t="shared" si="34"/>
        <v>2.7835840448579074E-2</v>
      </c>
      <c r="BI64">
        <f t="shared" si="35"/>
        <v>6.96E-3</v>
      </c>
      <c r="BJ64">
        <f t="shared" si="82"/>
        <v>0.16895562729756544</v>
      </c>
      <c r="BK64" s="472">
        <f t="shared" si="54"/>
        <v>168.95562729756543</v>
      </c>
      <c r="BL64" s="179">
        <f t="shared" si="83"/>
        <v>0.22891999999999998</v>
      </c>
      <c r="BM64" s="179">
        <f t="shared" si="84"/>
        <v>0.11445999999999999</v>
      </c>
      <c r="BN64" s="546"/>
      <c r="BP64" s="472">
        <f t="shared" si="55"/>
        <v>343.37999999999994</v>
      </c>
      <c r="BQ64" s="546">
        <f t="shared" si="39"/>
        <v>1.8826900486683913E-2</v>
      </c>
      <c r="BR64" s="546">
        <f t="shared" si="56"/>
        <v>5.5791579123968947E-2</v>
      </c>
      <c r="BS64" s="546">
        <f t="shared" si="85"/>
        <v>3.2921777841782428E-2</v>
      </c>
      <c r="BT64" s="546">
        <f t="shared" si="41"/>
        <v>7.9448244106242183E-2</v>
      </c>
      <c r="BU64" s="546">
        <f t="shared" si="86"/>
        <v>0.2016279824644773</v>
      </c>
      <c r="BV64" s="655">
        <f t="shared" si="87"/>
        <v>2.6133820049586906E-2</v>
      </c>
      <c r="BW64" s="472">
        <f t="shared" si="57"/>
        <v>227.76180251406419</v>
      </c>
      <c r="BX64" s="179">
        <f t="shared" si="58"/>
        <v>0.74009742981162963</v>
      </c>
      <c r="BY64" s="6">
        <f t="shared" si="59"/>
        <v>3.9234999999999998</v>
      </c>
      <c r="BZ64" s="179">
        <f t="shared" si="60"/>
        <v>0.84130331981902584</v>
      </c>
      <c r="CA64" s="6">
        <f t="shared" si="61"/>
        <v>84.130331981902586</v>
      </c>
      <c r="CB64">
        <f t="shared" si="92"/>
        <v>59</v>
      </c>
      <c r="CD64" s="581">
        <f t="shared" si="88"/>
        <v>-50</v>
      </c>
      <c r="CE64">
        <f t="shared" si="89"/>
        <v>-50</v>
      </c>
    </row>
    <row r="65" spans="5:83" x14ac:dyDescent="0.2">
      <c r="E65" s="176">
        <v>60</v>
      </c>
      <c r="F65" s="223">
        <f t="shared" si="93"/>
        <v>0.6</v>
      </c>
      <c r="G65" s="223">
        <f t="shared" si="90"/>
        <v>0.3</v>
      </c>
      <c r="H65" s="223">
        <f t="shared" si="65"/>
        <v>3</v>
      </c>
      <c r="I65" s="223">
        <f t="shared" si="94"/>
        <v>0.98999999999999988</v>
      </c>
      <c r="J65" s="559">
        <f t="shared" si="1"/>
        <v>24</v>
      </c>
      <c r="K65" s="454">
        <f t="shared" si="2"/>
        <v>15.899999999999999</v>
      </c>
      <c r="L65" s="454">
        <f t="shared" si="3"/>
        <v>39.9</v>
      </c>
      <c r="M65" s="454"/>
      <c r="N65" s="223">
        <f t="shared" si="4"/>
        <v>0.39849624060150374</v>
      </c>
      <c r="O65" s="178">
        <f t="shared" si="91"/>
        <v>4.8538639832664359</v>
      </c>
      <c r="P65" s="178">
        <f t="shared" si="66"/>
        <v>2.1303609022556387</v>
      </c>
      <c r="Q65" s="223">
        <f t="shared" si="6"/>
        <v>0.9707727966532872</v>
      </c>
      <c r="R65" s="223">
        <f t="shared" si="67"/>
        <v>1.4708678737171019</v>
      </c>
      <c r="S65" s="454">
        <f t="shared" si="68"/>
        <v>5</v>
      </c>
      <c r="T65" s="223">
        <f t="shared" si="69"/>
        <v>0.92709643605870007</v>
      </c>
      <c r="U65" s="223">
        <f t="shared" si="10"/>
        <v>1.1588705450733752</v>
      </c>
      <c r="V65" s="223">
        <f t="shared" si="11"/>
        <v>1.7492385586013213</v>
      </c>
      <c r="W65" s="203">
        <f t="shared" si="12"/>
        <v>350</v>
      </c>
      <c r="X65" s="454">
        <f t="shared" si="48"/>
        <v>343.86605328403829</v>
      </c>
      <c r="Z65" s="223">
        <f t="shared" si="13"/>
        <v>0.91084854994629427</v>
      </c>
      <c r="AA65" s="179">
        <f t="shared" si="14"/>
        <v>1.7185821697099894</v>
      </c>
      <c r="AB65" s="179">
        <f t="shared" si="70"/>
        <v>0.82181824055304764</v>
      </c>
      <c r="AC65" s="179"/>
      <c r="AD65" s="179">
        <f t="shared" si="16"/>
        <v>0.5660377358490567</v>
      </c>
      <c r="AE65" s="563">
        <f t="shared" si="71"/>
        <v>2355.5555555555552</v>
      </c>
      <c r="AF65" s="546">
        <f t="shared" si="72"/>
        <v>8.9150943396226423E-2</v>
      </c>
      <c r="AH65" s="179">
        <f t="shared" si="73"/>
        <v>0.87177978870813466</v>
      </c>
      <c r="AI65" s="179">
        <f t="shared" si="74"/>
        <v>0.87177978870813466</v>
      </c>
      <c r="AJ65" s="179">
        <f t="shared" si="75"/>
        <v>1.6235405842282478</v>
      </c>
      <c r="AL65" s="563">
        <f t="shared" si="76"/>
        <v>600</v>
      </c>
      <c r="AM65" s="472">
        <f t="shared" si="77"/>
        <v>343.86605328403829</v>
      </c>
      <c r="AO65">
        <f t="shared" si="49"/>
        <v>600</v>
      </c>
      <c r="AP65">
        <f t="shared" si="24"/>
        <v>343.86605328403829</v>
      </c>
      <c r="AR65" s="6">
        <f t="shared" si="50"/>
        <v>2.9081091036746964</v>
      </c>
      <c r="AS65" s="6">
        <f t="shared" si="25"/>
        <v>1.0897247358851683</v>
      </c>
      <c r="AT65" s="6">
        <f t="shared" si="51"/>
        <v>1.8183843677895282</v>
      </c>
      <c r="AU65" s="179">
        <f t="shared" si="52"/>
        <v>0.37471934409482383</v>
      </c>
      <c r="AW65" s="6">
        <f t="shared" si="78"/>
        <v>13.076696830622019</v>
      </c>
      <c r="AX65" s="6">
        <f t="shared" si="79"/>
        <v>9.9065885080469833</v>
      </c>
      <c r="AY65" s="6">
        <f t="shared" si="28"/>
        <v>0.21046115367934345</v>
      </c>
      <c r="AZ65" s="6"/>
      <c r="BA65" s="179">
        <f t="shared" si="53"/>
        <v>0.30810533994726874</v>
      </c>
      <c r="BB65" s="179">
        <f t="shared" si="80"/>
        <v>1.1940016312651343</v>
      </c>
      <c r="BC65" s="179">
        <f t="shared" si="81"/>
        <v>0.58008579252297765</v>
      </c>
      <c r="BD65" s="179"/>
      <c r="BE65" s="546">
        <f t="shared" si="31"/>
        <v>3.3225115176407707E-2</v>
      </c>
      <c r="BF65" s="546">
        <f t="shared" si="32"/>
        <v>8.9707810976300817E-2</v>
      </c>
      <c r="BG65" s="546">
        <f t="shared" si="33"/>
        <v>4.2983256660504791E-3</v>
      </c>
      <c r="BH65" s="546">
        <f t="shared" si="34"/>
        <v>2.7371909774436091E-2</v>
      </c>
      <c r="BI65">
        <f t="shared" si="35"/>
        <v>6.96E-3</v>
      </c>
      <c r="BJ65">
        <f t="shared" si="82"/>
        <v>0.16798245050809132</v>
      </c>
      <c r="BK65" s="472">
        <f t="shared" si="54"/>
        <v>167.98245050809132</v>
      </c>
      <c r="BL65" s="179">
        <f t="shared" si="83"/>
        <v>0.23279999999999998</v>
      </c>
      <c r="BM65" s="179">
        <f t="shared" si="84"/>
        <v>0.11639999999999999</v>
      </c>
      <c r="BN65" s="546"/>
      <c r="BP65" s="472">
        <f t="shared" si="55"/>
        <v>349.19999999999993</v>
      </c>
      <c r="BQ65" s="546">
        <f t="shared" si="39"/>
        <v>1.8985780100804407E-2</v>
      </c>
      <c r="BR65" s="546">
        <f t="shared" si="56"/>
        <v>5.7025595818552065E-2</v>
      </c>
      <c r="BS65" s="546">
        <f t="shared" si="85"/>
        <v>3.3649952668701105E-2</v>
      </c>
      <c r="BT65" s="546">
        <f t="shared" si="41"/>
        <v>7.7796535102058709E-2</v>
      </c>
      <c r="BU65" s="546">
        <f t="shared" si="86"/>
        <v>0.20239279615451972</v>
      </c>
      <c r="BV65" s="655">
        <f t="shared" si="87"/>
        <v>2.6133820049586906E-2</v>
      </c>
      <c r="BW65" s="472">
        <f t="shared" si="57"/>
        <v>228.52661620410663</v>
      </c>
      <c r="BX65" s="179">
        <f t="shared" si="58"/>
        <v>0.74570906671219794</v>
      </c>
      <c r="BY65" s="6">
        <f t="shared" si="59"/>
        <v>3.9899999999999998</v>
      </c>
      <c r="BZ65" s="179">
        <f t="shared" si="60"/>
        <v>0.84253486516858356</v>
      </c>
      <c r="CA65" s="6">
        <f t="shared" si="61"/>
        <v>84.253486516858359</v>
      </c>
      <c r="CB65">
        <f t="shared" si="92"/>
        <v>60</v>
      </c>
      <c r="CD65" s="581">
        <f t="shared" si="88"/>
        <v>-50</v>
      </c>
      <c r="CE65">
        <f t="shared" si="89"/>
        <v>-50</v>
      </c>
    </row>
    <row r="66" spans="5:83" x14ac:dyDescent="0.2">
      <c r="E66" s="176">
        <v>61</v>
      </c>
      <c r="F66" s="223">
        <f t="shared" si="93"/>
        <v>0.61</v>
      </c>
      <c r="G66" s="223">
        <f t="shared" si="90"/>
        <v>0.30499999999999999</v>
      </c>
      <c r="H66" s="223">
        <f t="shared" si="65"/>
        <v>3.05</v>
      </c>
      <c r="I66" s="223">
        <f t="shared" si="94"/>
        <v>1.0065</v>
      </c>
      <c r="J66" s="559">
        <f t="shared" si="1"/>
        <v>24</v>
      </c>
      <c r="K66" s="454">
        <f t="shared" si="2"/>
        <v>15.899999999999999</v>
      </c>
      <c r="L66" s="454">
        <f t="shared" si="3"/>
        <v>39.9</v>
      </c>
      <c r="M66" s="454"/>
      <c r="N66" s="223">
        <f t="shared" si="4"/>
        <v>0.39849624060150374</v>
      </c>
      <c r="O66" s="178">
        <f t="shared" si="91"/>
        <v>4.8538639832664359</v>
      </c>
      <c r="P66" s="178">
        <f t="shared" si="66"/>
        <v>2.1303609022556387</v>
      </c>
      <c r="Q66" s="223">
        <f t="shared" si="6"/>
        <v>0.9707727966532872</v>
      </c>
      <c r="R66" s="223">
        <f t="shared" si="67"/>
        <v>1.4708678737171019</v>
      </c>
      <c r="S66" s="454">
        <f t="shared" si="68"/>
        <v>5</v>
      </c>
      <c r="T66" s="223">
        <f t="shared" si="69"/>
        <v>0.94254804332634512</v>
      </c>
      <c r="U66" s="223">
        <f t="shared" si="10"/>
        <v>1.1781850541579315</v>
      </c>
      <c r="V66" s="223">
        <f t="shared" si="11"/>
        <v>1.7783925345780101</v>
      </c>
      <c r="W66" s="203">
        <f t="shared" si="12"/>
        <v>350</v>
      </c>
      <c r="X66" s="454">
        <f t="shared" si="48"/>
        <v>338.22890486954583</v>
      </c>
      <c r="Z66" s="223">
        <f t="shared" si="13"/>
        <v>0.91084854994629427</v>
      </c>
      <c r="AA66" s="179">
        <f t="shared" si="14"/>
        <v>1.7185821697099894</v>
      </c>
      <c r="AB66" s="179">
        <f t="shared" si="70"/>
        <v>0.82181824055304764</v>
      </c>
      <c r="AC66" s="179"/>
      <c r="AD66" s="179">
        <f t="shared" si="16"/>
        <v>0.5660377358490567</v>
      </c>
      <c r="AE66" s="563">
        <f t="shared" si="71"/>
        <v>2394.8148148148143</v>
      </c>
      <c r="AF66" s="546">
        <f t="shared" si="72"/>
        <v>8.9150943396226423E-2</v>
      </c>
      <c r="AH66" s="179">
        <f t="shared" si="73"/>
        <v>0.87901459980290808</v>
      </c>
      <c r="AI66" s="179">
        <f t="shared" si="74"/>
        <v>0.87901459980290808</v>
      </c>
      <c r="AJ66" s="179">
        <f t="shared" si="75"/>
        <v>1.6288997035577097</v>
      </c>
      <c r="AL66" s="563">
        <f t="shared" si="76"/>
        <v>610</v>
      </c>
      <c r="AM66" s="472">
        <f t="shared" si="77"/>
        <v>338.22890486954583</v>
      </c>
      <c r="AO66">
        <f t="shared" si="49"/>
        <v>610</v>
      </c>
      <c r="AP66">
        <f t="shared" si="24"/>
        <v>338.22890486954583</v>
      </c>
      <c r="AR66" s="6">
        <f t="shared" si="50"/>
        <v>2.9565775887359416</v>
      </c>
      <c r="AS66" s="6">
        <f t="shared" si="25"/>
        <v>1.0987682497536351</v>
      </c>
      <c r="AT66" s="6">
        <f t="shared" si="51"/>
        <v>1.8578093389823065</v>
      </c>
      <c r="AU66" s="179">
        <f t="shared" si="52"/>
        <v>0.37163518181959965</v>
      </c>
      <c r="AW66" s="6">
        <f t="shared" si="78"/>
        <v>13.404972646994349</v>
      </c>
      <c r="AX66" s="6">
        <f t="shared" si="79"/>
        <v>10.155282308329051</v>
      </c>
      <c r="AY66" s="6">
        <f t="shared" si="28"/>
        <v>0.21860796619969264</v>
      </c>
      <c r="AZ66" s="6"/>
      <c r="BA66" s="179">
        <f t="shared" si="53"/>
        <v>0.30938116574467955</v>
      </c>
      <c r="BB66" s="179">
        <f t="shared" si="80"/>
        <v>1.2068759872257664</v>
      </c>
      <c r="BC66" s="179">
        <f t="shared" si="81"/>
        <v>0.58634058379385146</v>
      </c>
      <c r="BD66" s="179"/>
      <c r="BE66" s="546">
        <f t="shared" si="31"/>
        <v>3.3500847001137903E-2</v>
      </c>
      <c r="BF66" s="546">
        <f t="shared" si="32"/>
        <v>8.896946252761212E-2</v>
      </c>
      <c r="BG66" s="546">
        <f t="shared" si="33"/>
        <v>4.2278613108693228E-3</v>
      </c>
      <c r="BH66" s="546">
        <f t="shared" si="34"/>
        <v>2.6923189942068281E-2</v>
      </c>
      <c r="BI66">
        <f t="shared" si="35"/>
        <v>6.96E-3</v>
      </c>
      <c r="BJ66">
        <f t="shared" si="82"/>
        <v>0.16704301774079139</v>
      </c>
      <c r="BK66" s="472">
        <f t="shared" si="54"/>
        <v>167.04301774079138</v>
      </c>
      <c r="BL66" s="179">
        <f t="shared" si="83"/>
        <v>0.23668</v>
      </c>
      <c r="BM66" s="179">
        <f t="shared" si="84"/>
        <v>0.11834</v>
      </c>
      <c r="BN66" s="546"/>
      <c r="BP66" s="472">
        <f t="shared" si="55"/>
        <v>355.02</v>
      </c>
      <c r="BQ66" s="546">
        <f t="shared" si="39"/>
        <v>1.9143341143507377E-2</v>
      </c>
      <c r="BR66" s="546">
        <f t="shared" si="56"/>
        <v>5.8261985941686731E-2</v>
      </c>
      <c r="BS66" s="546">
        <f t="shared" si="85"/>
        <v>3.4379528020371454E-2</v>
      </c>
      <c r="BT66" s="546">
        <f t="shared" si="41"/>
        <v>7.620562407978386E-2</v>
      </c>
      <c r="BU66" s="546">
        <f t="shared" si="86"/>
        <v>0.20322203344303233</v>
      </c>
      <c r="BV66" s="655">
        <f t="shared" si="87"/>
        <v>2.613382004958691E-2</v>
      </c>
      <c r="BW66" s="472">
        <f t="shared" si="57"/>
        <v>229.35585349261925</v>
      </c>
      <c r="BX66" s="179">
        <f t="shared" si="58"/>
        <v>0.75141887123341067</v>
      </c>
      <c r="BY66" s="6">
        <f t="shared" si="59"/>
        <v>4.0564999999999998</v>
      </c>
      <c r="BZ66" s="179">
        <f t="shared" si="60"/>
        <v>0.84371223987799027</v>
      </c>
      <c r="CA66" s="6">
        <f t="shared" si="61"/>
        <v>84.371223987799027</v>
      </c>
      <c r="CB66">
        <f t="shared" si="92"/>
        <v>61</v>
      </c>
      <c r="CD66" s="581">
        <f t="shared" si="88"/>
        <v>-50</v>
      </c>
      <c r="CE66">
        <f t="shared" si="89"/>
        <v>-50</v>
      </c>
    </row>
    <row r="67" spans="5:83" x14ac:dyDescent="0.2">
      <c r="E67" s="176">
        <v>62</v>
      </c>
      <c r="F67" s="223">
        <f t="shared" si="93"/>
        <v>0.62</v>
      </c>
      <c r="G67" s="223">
        <f t="shared" si="90"/>
        <v>0.31</v>
      </c>
      <c r="H67" s="223">
        <f t="shared" si="65"/>
        <v>3.1</v>
      </c>
      <c r="I67" s="223">
        <f t="shared" si="94"/>
        <v>1.0229999999999999</v>
      </c>
      <c r="J67" s="559">
        <f t="shared" si="1"/>
        <v>24</v>
      </c>
      <c r="K67" s="454">
        <f t="shared" si="2"/>
        <v>15.899999999999999</v>
      </c>
      <c r="L67" s="454">
        <f t="shared" si="3"/>
        <v>39.9</v>
      </c>
      <c r="M67" s="454"/>
      <c r="N67" s="223">
        <f t="shared" si="4"/>
        <v>0.39849624060150374</v>
      </c>
      <c r="O67" s="178">
        <f t="shared" si="91"/>
        <v>4.8538639832664359</v>
      </c>
      <c r="P67" s="178">
        <f t="shared" si="66"/>
        <v>2.1303609022556387</v>
      </c>
      <c r="Q67" s="223">
        <f t="shared" si="6"/>
        <v>0.9707727966532872</v>
      </c>
      <c r="R67" s="223">
        <f t="shared" si="67"/>
        <v>1.4708678737171019</v>
      </c>
      <c r="S67" s="454">
        <f t="shared" si="68"/>
        <v>5</v>
      </c>
      <c r="T67" s="223">
        <f t="shared" si="69"/>
        <v>0.95799965059399028</v>
      </c>
      <c r="U67" s="223">
        <f t="shared" si="10"/>
        <v>1.1974995632424879</v>
      </c>
      <c r="V67" s="223">
        <f t="shared" si="11"/>
        <v>1.8075465105546991</v>
      </c>
      <c r="W67" s="203">
        <f t="shared" si="12"/>
        <v>350</v>
      </c>
      <c r="X67" s="454">
        <f t="shared" si="48"/>
        <v>332.77359995229506</v>
      </c>
      <c r="Z67" s="223">
        <f t="shared" si="13"/>
        <v>0.91084854994629427</v>
      </c>
      <c r="AA67" s="179">
        <f t="shared" si="14"/>
        <v>1.7185821697099894</v>
      </c>
      <c r="AB67" s="179">
        <f t="shared" si="70"/>
        <v>0.82181824055304764</v>
      </c>
      <c r="AC67" s="179"/>
      <c r="AD67" s="179">
        <f t="shared" si="16"/>
        <v>0.5660377358490567</v>
      </c>
      <c r="AE67" s="563">
        <f t="shared" si="71"/>
        <v>2434.0740740740739</v>
      </c>
      <c r="AF67" s="546">
        <f t="shared" si="72"/>
        <v>8.9150943396226423E-2</v>
      </c>
      <c r="AH67" s="179">
        <f t="shared" si="73"/>
        <v>0.88619034825105902</v>
      </c>
      <c r="AI67" s="179">
        <f t="shared" si="74"/>
        <v>0.88619034825105902</v>
      </c>
      <c r="AJ67" s="179">
        <f t="shared" si="75"/>
        <v>1.6342150727785623</v>
      </c>
      <c r="AL67" s="563">
        <f t="shared" si="76"/>
        <v>620</v>
      </c>
      <c r="AM67" s="472">
        <f t="shared" si="77"/>
        <v>332.77359995229506</v>
      </c>
      <c r="AO67">
        <f t="shared" si="49"/>
        <v>620</v>
      </c>
      <c r="AP67">
        <f t="shared" si="24"/>
        <v>332.77359995229506</v>
      </c>
      <c r="AR67" s="6">
        <f t="shared" si="50"/>
        <v>3.0050460737971871</v>
      </c>
      <c r="AS67" s="6">
        <f t="shared" si="25"/>
        <v>1.1077379353138239</v>
      </c>
      <c r="AT67" s="6">
        <f t="shared" si="51"/>
        <v>1.8973081384833632</v>
      </c>
      <c r="AU67" s="179">
        <f t="shared" si="52"/>
        <v>0.36862594053810371</v>
      </c>
      <c r="AW67" s="6">
        <f t="shared" si="78"/>
        <v>13.735950397891417</v>
      </c>
      <c r="AX67" s="6">
        <f t="shared" si="79"/>
        <v>10.406023028705619</v>
      </c>
      <c r="AY67" s="6">
        <f t="shared" si="28"/>
        <v>0.22691571100688368</v>
      </c>
      <c r="AZ67" s="6"/>
      <c r="BA67" s="179">
        <f t="shared" si="53"/>
        <v>0.3106414002436057</v>
      </c>
      <c r="BB67" s="179">
        <f t="shared" si="80"/>
        <v>1.2196381775314462</v>
      </c>
      <c r="BC67" s="179">
        <f t="shared" si="81"/>
        <v>0.59254088125069426</v>
      </c>
      <c r="BD67" s="179"/>
      <c r="BE67" s="546">
        <f t="shared" si="31"/>
        <v>3.3774327840857807E-2</v>
      </c>
      <c r="BF67" s="546">
        <f t="shared" si="32"/>
        <v>8.8249050164821999E-2</v>
      </c>
      <c r="BG67" s="546">
        <f t="shared" si="33"/>
        <v>4.1596699994036878E-3</v>
      </c>
      <c r="BH67" s="546">
        <f t="shared" si="34"/>
        <v>2.6488944943002662E-2</v>
      </c>
      <c r="BI67">
        <f t="shared" si="35"/>
        <v>6.96E-3</v>
      </c>
      <c r="BJ67">
        <f t="shared" si="82"/>
        <v>0.1661357817975245</v>
      </c>
      <c r="BK67" s="472">
        <f t="shared" si="54"/>
        <v>166.13578179752449</v>
      </c>
      <c r="BL67" s="179">
        <f t="shared" si="83"/>
        <v>0.24056</v>
      </c>
      <c r="BM67" s="179">
        <f t="shared" si="84"/>
        <v>0.12028</v>
      </c>
      <c r="BN67" s="546"/>
      <c r="BP67" s="472">
        <f t="shared" si="55"/>
        <v>360.84</v>
      </c>
      <c r="BQ67" s="546">
        <f t="shared" si="39"/>
        <v>1.929961590906161E-2</v>
      </c>
      <c r="BR67" s="546">
        <f t="shared" si="56"/>
        <v>5.9500691363689101E-2</v>
      </c>
      <c r="BS67" s="546">
        <f t="shared" si="85"/>
        <v>3.5110469595334939E-2</v>
      </c>
      <c r="BT67" s="546">
        <f t="shared" si="41"/>
        <v>7.4672330535826975E-2</v>
      </c>
      <c r="BU67" s="546">
        <f t="shared" si="86"/>
        <v>0.20411244924100214</v>
      </c>
      <c r="BV67" s="655">
        <f t="shared" si="87"/>
        <v>2.6133820049586906E-2</v>
      </c>
      <c r="BW67" s="472">
        <f t="shared" si="57"/>
        <v>230.24626929058905</v>
      </c>
      <c r="BX67" s="179">
        <f t="shared" si="58"/>
        <v>0.75722205108811347</v>
      </c>
      <c r="BY67" s="6">
        <f t="shared" si="59"/>
        <v>4.1230000000000002</v>
      </c>
      <c r="BZ67" s="179">
        <f t="shared" si="60"/>
        <v>0.84483860710410086</v>
      </c>
      <c r="CA67" s="6">
        <f t="shared" si="61"/>
        <v>84.483860710410084</v>
      </c>
      <c r="CB67">
        <f t="shared" si="92"/>
        <v>62</v>
      </c>
      <c r="CD67" s="581">
        <f t="shared" si="88"/>
        <v>-50</v>
      </c>
      <c r="CE67">
        <f t="shared" si="89"/>
        <v>-50</v>
      </c>
    </row>
    <row r="68" spans="5:83" x14ac:dyDescent="0.2">
      <c r="E68" s="176">
        <v>63</v>
      </c>
      <c r="F68" s="223">
        <f t="shared" si="93"/>
        <v>0.63</v>
      </c>
      <c r="G68" s="223">
        <f t="shared" si="90"/>
        <v>0.315</v>
      </c>
      <c r="H68" s="223">
        <f t="shared" si="65"/>
        <v>3.15</v>
      </c>
      <c r="I68" s="223">
        <f t="shared" si="94"/>
        <v>1.0394999999999999</v>
      </c>
      <c r="J68" s="559">
        <f t="shared" si="1"/>
        <v>24</v>
      </c>
      <c r="K68" s="454">
        <f t="shared" si="2"/>
        <v>15.899999999999999</v>
      </c>
      <c r="L68" s="454">
        <f t="shared" si="3"/>
        <v>39.9</v>
      </c>
      <c r="M68" s="454"/>
      <c r="N68" s="223">
        <f t="shared" si="4"/>
        <v>0.39849624060150374</v>
      </c>
      <c r="O68" s="178">
        <f t="shared" si="91"/>
        <v>4.8538639832664359</v>
      </c>
      <c r="P68" s="178">
        <f t="shared" si="66"/>
        <v>2.1303609022556387</v>
      </c>
      <c r="Q68" s="223">
        <f t="shared" si="6"/>
        <v>0.9707727966532872</v>
      </c>
      <c r="R68" s="223">
        <f t="shared" si="67"/>
        <v>1.4708678737171019</v>
      </c>
      <c r="S68" s="454">
        <f t="shared" si="68"/>
        <v>5</v>
      </c>
      <c r="T68" s="223">
        <f t="shared" si="69"/>
        <v>0.97345125786163511</v>
      </c>
      <c r="U68" s="223">
        <f t="shared" si="10"/>
        <v>1.216814072327044</v>
      </c>
      <c r="V68" s="223">
        <f t="shared" si="11"/>
        <v>1.8367004865313872</v>
      </c>
      <c r="W68" s="203">
        <f t="shared" si="12"/>
        <v>350</v>
      </c>
      <c r="X68" s="454">
        <f t="shared" si="48"/>
        <v>327.49147931813172</v>
      </c>
      <c r="Z68" s="223">
        <f t="shared" si="13"/>
        <v>0.91084854994629427</v>
      </c>
      <c r="AA68" s="179">
        <f t="shared" si="14"/>
        <v>1.7185821697099894</v>
      </c>
      <c r="AB68" s="179">
        <f t="shared" si="70"/>
        <v>0.82181824055304764</v>
      </c>
      <c r="AC68" s="179"/>
      <c r="AD68" s="179">
        <f t="shared" si="16"/>
        <v>0.5660377358490567</v>
      </c>
      <c r="AE68" s="563">
        <f t="shared" si="71"/>
        <v>2473.333333333333</v>
      </c>
      <c r="AF68" s="546">
        <f t="shared" si="72"/>
        <v>8.9150943396226423E-2</v>
      </c>
      <c r="AH68" s="179">
        <f t="shared" si="73"/>
        <v>0.89330845736509179</v>
      </c>
      <c r="AI68" s="179">
        <f t="shared" si="74"/>
        <v>0.89330845736509179</v>
      </c>
      <c r="AJ68" s="179">
        <f t="shared" si="75"/>
        <v>1.6394877461963642</v>
      </c>
      <c r="AL68" s="563">
        <f t="shared" si="76"/>
        <v>630</v>
      </c>
      <c r="AM68" s="472">
        <f t="shared" si="77"/>
        <v>327.49147931813172</v>
      </c>
      <c r="AO68">
        <f t="shared" si="49"/>
        <v>630</v>
      </c>
      <c r="AP68">
        <f t="shared" si="24"/>
        <v>327.49147931813172</v>
      </c>
      <c r="AR68" s="6">
        <f t="shared" si="50"/>
        <v>3.0535145588584309</v>
      </c>
      <c r="AS68" s="6">
        <f t="shared" si="25"/>
        <v>1.1166355717063647</v>
      </c>
      <c r="AT68" s="6">
        <f t="shared" si="51"/>
        <v>1.9368789871520662</v>
      </c>
      <c r="AU68" s="179">
        <f t="shared" si="52"/>
        <v>0.36568863523736517</v>
      </c>
      <c r="AW68" s="6">
        <f t="shared" si="78"/>
        <v>14.069608203500197</v>
      </c>
      <c r="AX68" s="6">
        <f t="shared" si="79"/>
        <v>10.658794093560756</v>
      </c>
      <c r="AY68" s="6">
        <f t="shared" si="28"/>
        <v>0.23538459913306359</v>
      </c>
      <c r="AZ68" s="6"/>
      <c r="BA68" s="179">
        <f t="shared" si="53"/>
        <v>0.31188648090794052</v>
      </c>
      <c r="BB68" s="179">
        <f t="shared" si="80"/>
        <v>1.2322911211405152</v>
      </c>
      <c r="BC68" s="179">
        <f t="shared" si="81"/>
        <v>0.59868810302076692</v>
      </c>
      <c r="BD68" s="179"/>
      <c r="BE68" s="546">
        <f t="shared" si="31"/>
        <v>3.40456119405987E-2</v>
      </c>
      <c r="BF68" s="546">
        <f t="shared" si="32"/>
        <v>8.75458592758252E-2</v>
      </c>
      <c r="BG68" s="546">
        <f t="shared" si="33"/>
        <v>4.0936434914766459E-3</v>
      </c>
      <c r="BH68" s="546">
        <f t="shared" si="34"/>
        <v>2.6068485499462942E-2</v>
      </c>
      <c r="BI68">
        <f t="shared" si="35"/>
        <v>6.96E-3</v>
      </c>
      <c r="BJ68">
        <f t="shared" si="82"/>
        <v>0.16525928935384412</v>
      </c>
      <c r="BK68" s="472">
        <f t="shared" si="54"/>
        <v>165.25928935384411</v>
      </c>
      <c r="BL68" s="179">
        <f t="shared" si="83"/>
        <v>0.24443999999999999</v>
      </c>
      <c r="BM68" s="179">
        <f t="shared" si="84"/>
        <v>0.12222</v>
      </c>
      <c r="BN68" s="546"/>
      <c r="BP68" s="472">
        <f t="shared" si="55"/>
        <v>366.65999999999997</v>
      </c>
      <c r="BQ68" s="546">
        <f t="shared" si="39"/>
        <v>1.9454635394627828E-2</v>
      </c>
      <c r="BR68" s="546">
        <f t="shared" si="56"/>
        <v>6.0741656289669911E-2</v>
      </c>
      <c r="BS68" s="546">
        <f t="shared" si="85"/>
        <v>3.5842744469860445E-2</v>
      </c>
      <c r="BT68" s="546">
        <f t="shared" si="41"/>
        <v>7.3193688093428327E-2</v>
      </c>
      <c r="BU68" s="546">
        <f t="shared" si="86"/>
        <v>0.20506101519052564</v>
      </c>
      <c r="BV68" s="655">
        <f t="shared" si="87"/>
        <v>2.6133820049586916E-2</v>
      </c>
      <c r="BW68" s="472">
        <f t="shared" si="57"/>
        <v>231.19483524011255</v>
      </c>
      <c r="BX68" s="179">
        <f t="shared" si="58"/>
        <v>0.76311412459395667</v>
      </c>
      <c r="BY68" s="6">
        <f t="shared" si="59"/>
        <v>4.1894999999999998</v>
      </c>
      <c r="BZ68" s="179">
        <f t="shared" si="60"/>
        <v>0.84591690258999919</v>
      </c>
      <c r="CA68" s="6">
        <f t="shared" si="61"/>
        <v>84.591690258999918</v>
      </c>
      <c r="CB68">
        <f t="shared" si="92"/>
        <v>63</v>
      </c>
      <c r="CD68" s="581">
        <f t="shared" si="88"/>
        <v>-50</v>
      </c>
      <c r="CE68">
        <f t="shared" si="89"/>
        <v>-50</v>
      </c>
    </row>
    <row r="69" spans="5:83" x14ac:dyDescent="0.2">
      <c r="E69" s="176">
        <v>64</v>
      </c>
      <c r="F69" s="223">
        <f t="shared" si="93"/>
        <v>0.64</v>
      </c>
      <c r="G69" s="223">
        <f t="shared" si="90"/>
        <v>0.32</v>
      </c>
      <c r="H69" s="223">
        <f t="shared" ref="H69:H105" si="95">F69*Vout</f>
        <v>3.2</v>
      </c>
      <c r="I69" s="223">
        <f t="shared" si="94"/>
        <v>1.056</v>
      </c>
      <c r="J69" s="559">
        <f t="shared" ref="J69:J105" si="96">Vin</f>
        <v>24</v>
      </c>
      <c r="K69" s="454">
        <f t="shared" ref="K69:K105" si="97">(S69+Vfwd1)*Nps</f>
        <v>15.899999999999999</v>
      </c>
      <c r="L69" s="454">
        <f t="shared" ref="L69:L105" si="98">(Vout+Vfwd1)*Nps+J69</f>
        <v>39.9</v>
      </c>
      <c r="M69" s="454"/>
      <c r="N69" s="223">
        <f t="shared" ref="N69:N105" si="99">(Vout+Vfwd1)*Nps/((Vout+Vfwd1)*Nps+J69)</f>
        <v>0.39849624060150374</v>
      </c>
      <c r="O69" s="178">
        <f t="shared" si="91"/>
        <v>4.8538639832664359</v>
      </c>
      <c r="P69" s="178">
        <f t="shared" ref="P69:P105" si="100">N69*J69*Isw_max*0.5*Efficiency*(Pout2/Pout_total)</f>
        <v>2.1303609022556387</v>
      </c>
      <c r="Q69" s="223">
        <f t="shared" ref="Q69:Q105" si="101">O69/Vout</f>
        <v>0.9707727966532872</v>
      </c>
      <c r="R69" s="223">
        <f t="shared" ref="R69:R105" si="102">O69/Vout2</f>
        <v>1.4708678737171019</v>
      </c>
      <c r="S69" s="454">
        <f t="shared" ref="S69:S105" si="103">MIN(Vout,O69/F69)</f>
        <v>5</v>
      </c>
      <c r="T69" s="223">
        <f t="shared" ref="T69:T105" si="104">MIN(2*(Vout*F69+Vout2*G69)/(Efficiency*J69*N69), Isw_max)</f>
        <v>0.98890286512928027</v>
      </c>
      <c r="U69" s="223">
        <f t="shared" ref="U69:U105" si="105">L*T69/J69*1000000</f>
        <v>1.2361285814116003</v>
      </c>
      <c r="V69" s="223">
        <f t="shared" ref="V69:V105" si="106">L*T69/K69*1000000</f>
        <v>1.8658544625080762</v>
      </c>
      <c r="W69" s="203">
        <f t="shared" ref="W69:W105" si="107">IF(1/((350000*L)*(1/J69+1/K69))&gt;Isw_min, 350, 0.001/((Isw_min*L)*(1/J69+1/K69)))</f>
        <v>350</v>
      </c>
      <c r="X69" s="454">
        <f t="shared" si="48"/>
        <v>322.37442495378588</v>
      </c>
      <c r="Z69" s="223">
        <f t="shared" ref="Z69:Z105" si="108">1/((W69*1000*L)*(1/J69+1/K69))</f>
        <v>0.91084854994629427</v>
      </c>
      <c r="AA69" s="179">
        <f t="shared" ref="AA69:AA105" si="109">L*Z69/K69*1000000</f>
        <v>1.7185821697099894</v>
      </c>
      <c r="AB69" s="179">
        <f t="shared" ref="AB69:AB100" si="110">0.5*AA69*Z69*Nps*W69/1000*(Pout/Pout_total)</f>
        <v>0.82181824055304764</v>
      </c>
      <c r="AC69" s="179"/>
      <c r="AD69" s="179">
        <f t="shared" ref="AD69:AD105" si="111">L*Isw_min/K69*1000000</f>
        <v>0.5660377358490567</v>
      </c>
      <c r="AE69" s="563">
        <f t="shared" ref="AE69:AE100" si="112">MAX(10, F69/(0.5*AD69/1000000*Isw_min*Nps)/1000*Pout_total/Pout)</f>
        <v>2512.5925925925922</v>
      </c>
      <c r="AF69" s="546">
        <f t="shared" ref="AF69:AF105" si="113">0.5*AD69/1000000*Isw_min*Nps*W69*1000*(Pout/Pout_total)</f>
        <v>8.9150943396226423E-2</v>
      </c>
      <c r="AH69" s="179">
        <f t="shared" ref="AH69:AH105" si="114">SQRT((H69+I69)/(0.5*L*Fsw_DCM))</f>
        <v>0.90037029419382042</v>
      </c>
      <c r="AI69" s="179">
        <f t="shared" ref="AI69:AI100" si="115">MAX(IF(F69&gt;AB69,T69,AH69),Isw_min)</f>
        <v>0.90037029419382042</v>
      </c>
      <c r="AJ69" s="179">
        <f t="shared" ref="AJ69:AJ100" si="116">IF(F69&gt;AF69, (AI69-Isw_min)/1.08*0.8+1.2, AE69*0.2/350+1)</f>
        <v>1.644718736439867</v>
      </c>
      <c r="AL69" s="563">
        <f t="shared" ref="AL69:AL105" si="117">F69*1000</f>
        <v>640</v>
      </c>
      <c r="AM69" s="472">
        <f t="shared" ref="AM69:AM105" si="118">IF(F69&gt;AF69, X69, AE69)</f>
        <v>322.37442495378588</v>
      </c>
      <c r="AO69">
        <f t="shared" si="49"/>
        <v>640</v>
      </c>
      <c r="AP69">
        <f t="shared" ref="AP69:AP105" si="119">IF(H69&gt;O69, "",AM69)</f>
        <v>322.37442495378588</v>
      </c>
      <c r="AR69" s="6">
        <f t="shared" si="50"/>
        <v>3.1019830439196765</v>
      </c>
      <c r="AS69" s="6">
        <f t="shared" ref="AS69:AS105" si="120">L*AI69/J69*1000000</f>
        <v>1.1254628677422756</v>
      </c>
      <c r="AT69" s="6">
        <f t="shared" si="51"/>
        <v>1.9765201761774009</v>
      </c>
      <c r="AU69" s="179">
        <f t="shared" si="52"/>
        <v>0.36282044479525483</v>
      </c>
      <c r="AW69" s="6">
        <f t="shared" ref="AW69:AW105" si="121">F69*AS69/Vout_ripple*1000</f>
        <v>14.405924707101128</v>
      </c>
      <c r="AX69" s="6">
        <f t="shared" ref="AX69:AX105" si="122">G69*AS69/Vout_ripple2*1000</f>
        <v>10.913579323561461</v>
      </c>
      <c r="AY69" s="6">
        <f t="shared" ref="AY69:AY105" si="123">H69/Efficiency/J69*AT69/Vinripple1</f>
        <v>0.24401483656511122</v>
      </c>
      <c r="AZ69" s="6"/>
      <c r="BA69" s="179">
        <f t="shared" si="53"/>
        <v>0.31311682621703496</v>
      </c>
      <c r="BB69" s="179">
        <f t="shared" ref="BB69:BB105" si="124">AI69*Npri_sec1*SQRT((1-AU69)/3)*(Pout/Pout_total)</f>
        <v>1.2448376111999271</v>
      </c>
      <c r="BC69" s="179">
        <f t="shared" ref="BC69:BC105" si="125">AI69*Npri_sec2*SQRT((1-AU69)/3)*(Pout2/Pout_total)</f>
        <v>0.60478360610796456</v>
      </c>
      <c r="BD69" s="179"/>
      <c r="BE69" s="546">
        <f t="shared" ref="BE69:BE105" si="126">Rdson*BA69^2</f>
        <v>3.4314751401080104E-2</v>
      </c>
      <c r="BF69" s="546">
        <f t="shared" ref="BF69:BF105" si="127">0.5*L69*AI69*AM69*1000*Trise</f>
        <v>8.6859214483983996E-2</v>
      </c>
      <c r="BG69" s="546">
        <f t="shared" ref="BG69:BG105" si="128">Qg*Vdd*AM69*1000</f>
        <v>4.0296803119223229E-3</v>
      </c>
      <c r="BH69" s="546">
        <f t="shared" ref="BH69:BH105" si="129">0.5*(Coss+Csw)*L69^2*AM69*1000</f>
        <v>2.5661165413533832E-2</v>
      </c>
      <c r="BI69">
        <f t="shared" ref="BI69:BI105" si="130">J69*IQ</f>
        <v>6.96E-3</v>
      </c>
      <c r="BJ69">
        <f t="shared" ref="BJ69:BJ100" si="131">(BF69+BG69+BH69+BI69+BE69*(1+RdsonTC*(Ta-25)))/(1-BE69*RdsonTC*ThetaJA)</f>
        <v>0.1644121738855745</v>
      </c>
      <c r="BK69" s="472">
        <f t="shared" si="54"/>
        <v>164.4121738855745</v>
      </c>
      <c r="BL69" s="179">
        <f t="shared" ref="BL69:BL105" si="132">Vfwd2*F69*(1+Diode_TC/1000*(Ta-25))</f>
        <v>0.24831999999999999</v>
      </c>
      <c r="BM69" s="179">
        <f t="shared" ref="BM69:BM105" si="133">Vfwd2*G69*(1+Diode_TC/1000*(Ta-25))</f>
        <v>0.12415999999999999</v>
      </c>
      <c r="BN69" s="546"/>
      <c r="BP69" s="472">
        <f t="shared" si="55"/>
        <v>372.47999999999996</v>
      </c>
      <c r="BQ69" s="546">
        <f t="shared" ref="BQ69:BQ105" si="134">Rdcr_pri*BA69^2</f>
        <v>1.9608429372045776E-2</v>
      </c>
      <c r="BR69" s="546">
        <f t="shared" ref="BR69:BR105" si="135">Rdcr_sec*BB69^2</f>
        <v>6.1984827130317638E-2</v>
      </c>
      <c r="BS69" s="546">
        <f t="shared" ref="BS69:BS105" si="136">Rdcr_sec2*BC69^2</f>
        <v>3.6576321021695363E-2</v>
      </c>
      <c r="BT69" s="546">
        <f t="shared" ref="BT69:BT105" si="137">AI69^2.5*AM69^2.5*k_core</f>
        <v>7.1766926972385847E-2</v>
      </c>
      <c r="BU69" s="546">
        <f t="shared" ref="BU69:BU100" si="138">(BT69+(BQ69+BR69+BS69)*(1+Ltc*(Ta-25)))/(1-(BQ69+BR69+BS69)*Ltc*ThetaCa)</f>
        <v>0.20606490199220817</v>
      </c>
      <c r="BV69" s="655">
        <f t="shared" ref="BV69:BV105" si="139">0.5*Lleak*0.000000001*AI69^2*AM69*1000</f>
        <v>2.6133820049586913E-2</v>
      </c>
      <c r="BW69" s="472">
        <f t="shared" si="57"/>
        <v>232.19872204179509</v>
      </c>
      <c r="BX69" s="179">
        <f t="shared" si="58"/>
        <v>0.76909089592736957</v>
      </c>
      <c r="BY69" s="6">
        <f t="shared" si="59"/>
        <v>4.2560000000000002</v>
      </c>
      <c r="BZ69" s="179">
        <f t="shared" si="60"/>
        <v>0.84694985387215849</v>
      </c>
      <c r="CA69" s="6">
        <f t="shared" si="61"/>
        <v>84.694985387215851</v>
      </c>
      <c r="CB69">
        <f t="shared" si="92"/>
        <v>64</v>
      </c>
      <c r="CD69" s="581">
        <f t="shared" ref="CD69:CD105" si="140">IF(ABS(F69-Ioutmax_Vinnom)&lt;Iout/200, AM69, -50)</f>
        <v>-50</v>
      </c>
      <c r="CE69">
        <f t="shared" ref="CE69:CE105" si="141">IF(ABS(F69-Ioutmax_Vinnom)&lt;Iout/200, (O69+P69)*BZ69, -50)</f>
        <v>-50</v>
      </c>
    </row>
    <row r="70" spans="5:83" x14ac:dyDescent="0.2">
      <c r="E70" s="176">
        <v>65</v>
      </c>
      <c r="F70" s="223">
        <f t="shared" si="93"/>
        <v>0.65</v>
      </c>
      <c r="G70" s="223">
        <f t="shared" ref="G70:G105" si="142">IF(PLOT_TYPE=1, E70/100*Iout2, min_I*EXP(Q70*rr/100))</f>
        <v>0.32500000000000001</v>
      </c>
      <c r="H70" s="223">
        <f t="shared" si="95"/>
        <v>3.25</v>
      </c>
      <c r="I70" s="223">
        <f t="shared" si="94"/>
        <v>1.0725</v>
      </c>
      <c r="J70" s="559">
        <f t="shared" si="96"/>
        <v>24</v>
      </c>
      <c r="K70" s="454">
        <f t="shared" si="97"/>
        <v>15.899999999999999</v>
      </c>
      <c r="L70" s="454">
        <f t="shared" si="98"/>
        <v>39.9</v>
      </c>
      <c r="M70" s="454"/>
      <c r="N70" s="223">
        <f t="shared" si="99"/>
        <v>0.39849624060150374</v>
      </c>
      <c r="O70" s="178">
        <f t="shared" ref="O70:O101" si="143">N70*J70*Isw_max*0.5*Efficiency*Pout/(Pout+Pout2)</f>
        <v>4.8538639832664359</v>
      </c>
      <c r="P70" s="178">
        <f t="shared" si="100"/>
        <v>2.1303609022556387</v>
      </c>
      <c r="Q70" s="223">
        <f t="shared" si="101"/>
        <v>0.9707727966532872</v>
      </c>
      <c r="R70" s="223">
        <f t="shared" si="102"/>
        <v>1.4708678737171019</v>
      </c>
      <c r="S70" s="454">
        <f t="shared" si="103"/>
        <v>5</v>
      </c>
      <c r="T70" s="223">
        <f t="shared" si="104"/>
        <v>1.0043544723969251</v>
      </c>
      <c r="U70" s="223">
        <f t="shared" si="105"/>
        <v>1.2554430904961564</v>
      </c>
      <c r="V70" s="223">
        <f t="shared" si="106"/>
        <v>1.8950084384847645</v>
      </c>
      <c r="W70" s="203">
        <f t="shared" si="107"/>
        <v>350</v>
      </c>
      <c r="X70" s="454">
        <f t="shared" ref="X70:X105" si="144">MIN(1/(U70+V70)*1000, 350)</f>
        <v>317.41481841603536</v>
      </c>
      <c r="Z70" s="223">
        <f t="shared" si="108"/>
        <v>0.91084854994629427</v>
      </c>
      <c r="AA70" s="179">
        <f t="shared" si="109"/>
        <v>1.7185821697099894</v>
      </c>
      <c r="AB70" s="179">
        <f t="shared" si="110"/>
        <v>0.82181824055304764</v>
      </c>
      <c r="AC70" s="179"/>
      <c r="AD70" s="179">
        <f t="shared" si="111"/>
        <v>0.5660377358490567</v>
      </c>
      <c r="AE70" s="563">
        <f t="shared" si="112"/>
        <v>2551.8518518518517</v>
      </c>
      <c r="AF70" s="546">
        <f t="shared" si="113"/>
        <v>8.9150943396226423E-2</v>
      </c>
      <c r="AH70" s="179">
        <f t="shared" si="114"/>
        <v>0.90737717258774664</v>
      </c>
      <c r="AI70" s="179">
        <f t="shared" si="115"/>
        <v>0.90737717258774664</v>
      </c>
      <c r="AJ70" s="179">
        <f t="shared" si="116"/>
        <v>1.6499090167316641</v>
      </c>
      <c r="AL70" s="563">
        <f t="shared" si="117"/>
        <v>650</v>
      </c>
      <c r="AM70" s="472">
        <f t="shared" si="118"/>
        <v>317.41481841603536</v>
      </c>
      <c r="AO70">
        <f t="shared" ref="AO70:AO105" si="145">IF(H70&gt;O70, "",AL70)</f>
        <v>650</v>
      </c>
      <c r="AP70">
        <f t="shared" si="119"/>
        <v>317.41481841603536</v>
      </c>
      <c r="AR70" s="6">
        <f t="shared" ref="AR70:AR133" si="146">1/AM70*1000</f>
        <v>3.1504515289809212</v>
      </c>
      <c r="AS70" s="6">
        <f t="shared" si="120"/>
        <v>1.1342214657346832</v>
      </c>
      <c r="AT70" s="6">
        <f t="shared" ref="AT70:AT105" si="147">AR70-AS70</f>
        <v>2.0162300632462378</v>
      </c>
      <c r="AU70" s="179">
        <f t="shared" ref="AU70:AU105" si="148">AS70/AR70</f>
        <v>0.36001870058974389</v>
      </c>
      <c r="AW70" s="6">
        <f t="shared" si="121"/>
        <v>14.744879054550882</v>
      </c>
      <c r="AX70" s="6">
        <f t="shared" si="122"/>
        <v>11.170362920114304</v>
      </c>
      <c r="AY70" s="6">
        <f t="shared" si="123"/>
        <v>0.25280662444252594</v>
      </c>
      <c r="AZ70" s="6"/>
      <c r="BA70" s="179">
        <f t="shared" ref="BA70:BA105" si="149">AI70*SQRT(AU70/3)</f>
        <v>0.31433283677172996</v>
      </c>
      <c r="BB70" s="179">
        <f t="shared" si="124"/>
        <v>1.2572803225785936</v>
      </c>
      <c r="BC70" s="179">
        <f t="shared" si="125"/>
        <v>0.61082869005276674</v>
      </c>
      <c r="BD70" s="179"/>
      <c r="BE70" s="546">
        <f t="shared" si="126"/>
        <v>3.4581796295537058E-2</v>
      </c>
      <c r="BF70" s="546">
        <f t="shared" si="127"/>
        <v>8.6188476921184684E-2</v>
      </c>
      <c r="BG70" s="546">
        <f t="shared" si="128"/>
        <v>3.9676852302004424E-3</v>
      </c>
      <c r="BH70" s="546">
        <f t="shared" si="129"/>
        <v>2.5266378253325623E-2</v>
      </c>
      <c r="BI70">
        <f t="shared" si="130"/>
        <v>6.96E-3</v>
      </c>
      <c r="BJ70">
        <f t="shared" si="131"/>
        <v>0.16359314922947801</v>
      </c>
      <c r="BK70" s="472">
        <f t="shared" ref="BK70:BK105" si="150">BJ70*1000</f>
        <v>163.593149229478</v>
      </c>
      <c r="BL70" s="179">
        <f t="shared" si="132"/>
        <v>0.25219999999999998</v>
      </c>
      <c r="BM70" s="179">
        <f t="shared" si="133"/>
        <v>0.12609999999999999</v>
      </c>
      <c r="BN70" s="546"/>
      <c r="BP70" s="472">
        <f t="shared" ref="BP70:BP105" si="151">SUM(BL70:BO70)*1000</f>
        <v>378.29999999999995</v>
      </c>
      <c r="BQ70" s="546">
        <f t="shared" si="134"/>
        <v>1.9761026454592608E-2</v>
      </c>
      <c r="BR70" s="546">
        <f t="shared" si="135"/>
        <v>6.3230152381733296E-2</v>
      </c>
      <c r="BS70" s="546">
        <f t="shared" si="136"/>
        <v>3.7311168859157903E-2</v>
      </c>
      <c r="BT70" s="546">
        <f t="shared" si="137"/>
        <v>7.0389458141088657E-2</v>
      </c>
      <c r="BU70" s="546">
        <f t="shared" si="138"/>
        <v>0.2071214634246796</v>
      </c>
      <c r="BV70" s="655">
        <f t="shared" si="139"/>
        <v>2.6133820049586913E-2</v>
      </c>
      <c r="BW70" s="472">
        <f t="shared" ref="BW70:BW105" si="152">(BU70+BV70)*1000</f>
        <v>233.25528347426652</v>
      </c>
      <c r="BX70" s="179">
        <f t="shared" ref="BX70:BX105" si="153">SUM(BJ70,BL70:BO70,BU70:BV70)</f>
        <v>0.77514843270374445</v>
      </c>
      <c r="BY70" s="6">
        <f t="shared" ref="BY70:BY105" si="154">MIN(H70+I70,O70+P70)</f>
        <v>4.3224999999999998</v>
      </c>
      <c r="BZ70" s="179">
        <f t="shared" ref="BZ70:BZ105" si="155">BY70/(BY70+BX70)</f>
        <v>0.84793999764071348</v>
      </c>
      <c r="CA70" s="6">
        <f t="shared" ref="CA70:CA105" si="156">BZ70*100</f>
        <v>84.793999764071344</v>
      </c>
      <c r="CB70">
        <f t="shared" ref="CB70:CB105" si="157">F70/Iout*100</f>
        <v>65</v>
      </c>
      <c r="CD70" s="581">
        <f t="shared" si="140"/>
        <v>-50</v>
      </c>
      <c r="CE70">
        <f t="shared" si="141"/>
        <v>-50</v>
      </c>
    </row>
    <row r="71" spans="5:83" x14ac:dyDescent="0.2">
      <c r="E71" s="176">
        <v>66</v>
      </c>
      <c r="F71" s="223">
        <f t="shared" si="93"/>
        <v>0.66</v>
      </c>
      <c r="G71" s="223">
        <f t="shared" si="142"/>
        <v>0.33</v>
      </c>
      <c r="H71" s="223">
        <f t="shared" si="95"/>
        <v>3.3000000000000003</v>
      </c>
      <c r="I71" s="223">
        <f t="shared" si="94"/>
        <v>1.089</v>
      </c>
      <c r="J71" s="559">
        <f t="shared" si="96"/>
        <v>24</v>
      </c>
      <c r="K71" s="454">
        <f t="shared" si="97"/>
        <v>15.899999999999999</v>
      </c>
      <c r="L71" s="454">
        <f t="shared" si="98"/>
        <v>39.9</v>
      </c>
      <c r="M71" s="454"/>
      <c r="N71" s="223">
        <f t="shared" si="99"/>
        <v>0.39849624060150374</v>
      </c>
      <c r="O71" s="178">
        <f t="shared" si="143"/>
        <v>4.8538639832664359</v>
      </c>
      <c r="P71" s="178">
        <f t="shared" si="100"/>
        <v>2.1303609022556387</v>
      </c>
      <c r="Q71" s="223">
        <f t="shared" si="101"/>
        <v>0.9707727966532872</v>
      </c>
      <c r="R71" s="223">
        <f t="shared" si="102"/>
        <v>1.4708678737171019</v>
      </c>
      <c r="S71" s="454">
        <f t="shared" si="103"/>
        <v>5</v>
      </c>
      <c r="T71" s="223">
        <f t="shared" si="104"/>
        <v>1.0198060796645703</v>
      </c>
      <c r="U71" s="223">
        <f t="shared" si="105"/>
        <v>1.274757599580713</v>
      </c>
      <c r="V71" s="223">
        <f t="shared" si="106"/>
        <v>1.9241624144614538</v>
      </c>
      <c r="W71" s="203">
        <f t="shared" si="107"/>
        <v>350</v>
      </c>
      <c r="X71" s="454">
        <f t="shared" si="144"/>
        <v>312.6055029854893</v>
      </c>
      <c r="Z71" s="223">
        <f t="shared" si="108"/>
        <v>0.91084854994629427</v>
      </c>
      <c r="AA71" s="179">
        <f t="shared" si="109"/>
        <v>1.7185821697099894</v>
      </c>
      <c r="AB71" s="179">
        <f t="shared" si="110"/>
        <v>0.82181824055304764</v>
      </c>
      <c r="AC71" s="179"/>
      <c r="AD71" s="179">
        <f t="shared" si="111"/>
        <v>0.5660377358490567</v>
      </c>
      <c r="AE71" s="563">
        <f t="shared" si="112"/>
        <v>2591.1111111111104</v>
      </c>
      <c r="AF71" s="546">
        <f t="shared" si="113"/>
        <v>8.9150943396226423E-2</v>
      </c>
      <c r="AH71" s="179">
        <f t="shared" si="114"/>
        <v>0.91433035605299684</v>
      </c>
      <c r="AI71" s="179">
        <f t="shared" si="115"/>
        <v>0.91433035605299684</v>
      </c>
      <c r="AJ71" s="179">
        <f t="shared" si="116"/>
        <v>1.6550595230022198</v>
      </c>
      <c r="AL71" s="563">
        <f t="shared" si="117"/>
        <v>660</v>
      </c>
      <c r="AM71" s="472">
        <f t="shared" si="118"/>
        <v>312.6055029854893</v>
      </c>
      <c r="AO71">
        <f t="shared" si="145"/>
        <v>660</v>
      </c>
      <c r="AP71">
        <f t="shared" si="119"/>
        <v>312.6055029854893</v>
      </c>
      <c r="AR71" s="6">
        <f t="shared" si="146"/>
        <v>3.1989200140421667</v>
      </c>
      <c r="AS71" s="6">
        <f t="shared" si="120"/>
        <v>1.1429129450662461</v>
      </c>
      <c r="AT71" s="6">
        <f t="shared" si="147"/>
        <v>2.0560070689759207</v>
      </c>
      <c r="AU71" s="179">
        <f t="shared" si="148"/>
        <v>0.35728087606106074</v>
      </c>
      <c r="AW71" s="6">
        <f t="shared" si="121"/>
        <v>15.086450874874448</v>
      </c>
      <c r="AX71" s="6">
        <f t="shared" si="122"/>
        <v>11.429129450662462</v>
      </c>
      <c r="AY71" s="6">
        <f t="shared" si="123"/>
        <v>0.26176015924461948</v>
      </c>
      <c r="AZ71" s="6"/>
      <c r="BA71" s="179">
        <f t="shared" si="149"/>
        <v>0.31553489632001441</v>
      </c>
      <c r="BB71" s="179">
        <f t="shared" si="124"/>
        <v>1.2696218188259287</v>
      </c>
      <c r="BC71" s="179">
        <f t="shared" si="125"/>
        <v>0.6168246003129304</v>
      </c>
      <c r="BD71" s="179"/>
      <c r="BE71" s="546">
        <f t="shared" si="126"/>
        <v>3.4846794778488788E-2</v>
      </c>
      <c r="BF71" s="546">
        <f t="shared" si="127"/>
        <v>8.5533041729017933E-2</v>
      </c>
      <c r="BG71" s="546">
        <f t="shared" si="128"/>
        <v>3.9075687873186158E-3</v>
      </c>
      <c r="BH71" s="546">
        <f t="shared" si="129"/>
        <v>2.4883554340396439E-2</v>
      </c>
      <c r="BI71">
        <f t="shared" si="130"/>
        <v>6.96E-3</v>
      </c>
      <c r="BJ71">
        <f t="shared" si="131"/>
        <v>0.16280100371237036</v>
      </c>
      <c r="BK71" s="472">
        <f t="shared" si="150"/>
        <v>162.80100371237035</v>
      </c>
      <c r="BL71" s="179">
        <f t="shared" si="132"/>
        <v>0.25608000000000003</v>
      </c>
      <c r="BM71" s="179">
        <f t="shared" si="133"/>
        <v>0.12804000000000001</v>
      </c>
      <c r="BN71" s="546"/>
      <c r="BP71" s="472">
        <f t="shared" si="151"/>
        <v>384.12</v>
      </c>
      <c r="BQ71" s="546">
        <f t="shared" si="134"/>
        <v>1.991245415913645E-2</v>
      </c>
      <c r="BR71" s="546">
        <f t="shared" si="135"/>
        <v>6.4477582513554371E-2</v>
      </c>
      <c r="BS71" s="546">
        <f t="shared" si="136"/>
        <v>3.8047258755120633E-2</v>
      </c>
      <c r="BT71" s="546">
        <f t="shared" si="137"/>
        <v>6.9058858966410785E-2</v>
      </c>
      <c r="BU71" s="546">
        <f t="shared" si="138"/>
        <v>0.20822822187096954</v>
      </c>
      <c r="BV71" s="655">
        <f t="shared" si="139"/>
        <v>2.6133820049586906E-2</v>
      </c>
      <c r="BW71" s="472">
        <f t="shared" si="152"/>
        <v>234.36204192055644</v>
      </c>
      <c r="BX71" s="179">
        <f t="shared" si="153"/>
        <v>0.78128304563292683</v>
      </c>
      <c r="BY71" s="6">
        <f t="shared" si="154"/>
        <v>4.3890000000000002</v>
      </c>
      <c r="BZ71" s="179">
        <f t="shared" si="155"/>
        <v>0.84888969545045767</v>
      </c>
      <c r="CA71" s="6">
        <f t="shared" si="156"/>
        <v>84.888969545045768</v>
      </c>
      <c r="CB71">
        <f t="shared" si="157"/>
        <v>66</v>
      </c>
      <c r="CD71" s="581">
        <f t="shared" si="140"/>
        <v>-50</v>
      </c>
      <c r="CE71">
        <f t="shared" si="141"/>
        <v>-50</v>
      </c>
    </row>
    <row r="72" spans="5:83" x14ac:dyDescent="0.2">
      <c r="E72" s="176">
        <v>67</v>
      </c>
      <c r="F72" s="223">
        <f t="shared" ref="F72:F103" si="158">IF(PLOT_TYPE=1, E72/100*Iout_max, min_I*EXP(O72*rr/100))</f>
        <v>0.67</v>
      </c>
      <c r="G72" s="223">
        <f t="shared" si="142"/>
        <v>0.33500000000000002</v>
      </c>
      <c r="H72" s="223">
        <f t="shared" si="95"/>
        <v>3.35</v>
      </c>
      <c r="I72" s="223">
        <f t="shared" ref="I72:I105" si="159">Vout2*G72</f>
        <v>1.1054999999999999</v>
      </c>
      <c r="J72" s="559">
        <f t="shared" si="96"/>
        <v>24</v>
      </c>
      <c r="K72" s="454">
        <f t="shared" si="97"/>
        <v>15.899999999999999</v>
      </c>
      <c r="L72" s="454">
        <f t="shared" si="98"/>
        <v>39.9</v>
      </c>
      <c r="M72" s="454"/>
      <c r="N72" s="223">
        <f t="shared" si="99"/>
        <v>0.39849624060150374</v>
      </c>
      <c r="O72" s="178">
        <f t="shared" si="143"/>
        <v>4.8538639832664359</v>
      </c>
      <c r="P72" s="178">
        <f t="shared" si="100"/>
        <v>2.1303609022556387</v>
      </c>
      <c r="Q72" s="223">
        <f t="shared" si="101"/>
        <v>0.9707727966532872</v>
      </c>
      <c r="R72" s="223">
        <f t="shared" si="102"/>
        <v>1.4708678737171019</v>
      </c>
      <c r="S72" s="454">
        <f t="shared" si="103"/>
        <v>5</v>
      </c>
      <c r="T72" s="223">
        <f t="shared" si="104"/>
        <v>1.0352576869322152</v>
      </c>
      <c r="U72" s="223">
        <f t="shared" si="105"/>
        <v>1.2940721086652691</v>
      </c>
      <c r="V72" s="223">
        <f t="shared" si="106"/>
        <v>1.9533163904381421</v>
      </c>
      <c r="W72" s="203">
        <f t="shared" si="107"/>
        <v>350</v>
      </c>
      <c r="X72" s="454">
        <f t="shared" si="144"/>
        <v>307.93974920958658</v>
      </c>
      <c r="Z72" s="223">
        <f t="shared" si="108"/>
        <v>0.91084854994629427</v>
      </c>
      <c r="AA72" s="179">
        <f t="shared" si="109"/>
        <v>1.7185821697099894</v>
      </c>
      <c r="AB72" s="179">
        <f t="shared" si="110"/>
        <v>0.82181824055304764</v>
      </c>
      <c r="AC72" s="179"/>
      <c r="AD72" s="179">
        <f t="shared" si="111"/>
        <v>0.5660377358490567</v>
      </c>
      <c r="AE72" s="563">
        <f t="shared" si="112"/>
        <v>2630.37037037037</v>
      </c>
      <c r="AF72" s="546">
        <f t="shared" si="113"/>
        <v>8.9150943396226423E-2</v>
      </c>
      <c r="AH72" s="179">
        <f t="shared" si="114"/>
        <v>0.92123106041137515</v>
      </c>
      <c r="AI72" s="179">
        <f t="shared" si="115"/>
        <v>0.92123106041137515</v>
      </c>
      <c r="AJ72" s="179">
        <f t="shared" si="116"/>
        <v>1.6601711558602779</v>
      </c>
      <c r="AL72" s="563">
        <f t="shared" si="117"/>
        <v>670</v>
      </c>
      <c r="AM72" s="472">
        <f t="shared" si="118"/>
        <v>307.93974920958658</v>
      </c>
      <c r="AO72">
        <f t="shared" si="145"/>
        <v>670</v>
      </c>
      <c r="AP72">
        <f t="shared" si="119"/>
        <v>307.93974920958658</v>
      </c>
      <c r="AR72" s="6">
        <f t="shared" si="146"/>
        <v>3.2473884991034105</v>
      </c>
      <c r="AS72" s="6">
        <f t="shared" si="120"/>
        <v>1.1515388255142189</v>
      </c>
      <c r="AT72" s="6">
        <f t="shared" si="147"/>
        <v>2.0958496735891918</v>
      </c>
      <c r="AU72" s="179">
        <f t="shared" si="148"/>
        <v>0.35460457713395044</v>
      </c>
      <c r="AW72" s="6">
        <f t="shared" si="121"/>
        <v>15.430620261890535</v>
      </c>
      <c r="AX72" s="6">
        <f t="shared" si="122"/>
        <v>11.689863834765557</v>
      </c>
      <c r="AY72" s="6">
        <f t="shared" si="123"/>
        <v>0.27087563296773887</v>
      </c>
      <c r="AZ72" s="6"/>
      <c r="BA72" s="179">
        <f t="shared" si="149"/>
        <v>0.31672337270927375</v>
      </c>
      <c r="BB72" s="179">
        <f t="shared" si="124"/>
        <v>1.2818645586086552</v>
      </c>
      <c r="BC72" s="179">
        <f t="shared" si="125"/>
        <v>0.62277253139070499</v>
      </c>
      <c r="BD72" s="179"/>
      <c r="BE72" s="546">
        <f t="shared" si="126"/>
        <v>3.5109793187118134E-2</v>
      </c>
      <c r="BF72" s="546">
        <f t="shared" si="127"/>
        <v>8.4892335765867744E-2</v>
      </c>
      <c r="BG72" s="546">
        <f t="shared" si="128"/>
        <v>3.8492468651198319E-3</v>
      </c>
      <c r="BH72" s="546">
        <f t="shared" si="129"/>
        <v>2.4512158006957694E-2</v>
      </c>
      <c r="BI72">
        <f t="shared" si="130"/>
        <v>6.96E-3</v>
      </c>
      <c r="BJ72">
        <f t="shared" si="131"/>
        <v>0.16203459479072269</v>
      </c>
      <c r="BK72" s="472">
        <f t="shared" si="150"/>
        <v>162.03459479072268</v>
      </c>
      <c r="BL72" s="179">
        <f t="shared" si="132"/>
        <v>0.25996000000000002</v>
      </c>
      <c r="BM72" s="179">
        <f t="shared" si="133"/>
        <v>0.12998000000000001</v>
      </c>
      <c r="BN72" s="546"/>
      <c r="BP72" s="472">
        <f t="shared" si="151"/>
        <v>389.94000000000005</v>
      </c>
      <c r="BQ72" s="546">
        <f t="shared" si="134"/>
        <v>2.0062738964067506E-2</v>
      </c>
      <c r="BR72" s="546">
        <f t="shared" si="135"/>
        <v>6.5727069864678495E-2</v>
      </c>
      <c r="BS72" s="546">
        <f t="shared" si="136"/>
        <v>3.878456258547866E-2</v>
      </c>
      <c r="BT72" s="546">
        <f t="shared" si="137"/>
        <v>6.7772860199698137E-2</v>
      </c>
      <c r="BU72" s="546">
        <f t="shared" si="138"/>
        <v>0.20938285518923896</v>
      </c>
      <c r="BV72" s="655">
        <f t="shared" si="139"/>
        <v>2.6133820049586916E-2</v>
      </c>
      <c r="BW72" s="472">
        <f t="shared" si="152"/>
        <v>235.51667523882588</v>
      </c>
      <c r="BX72" s="179">
        <f t="shared" si="153"/>
        <v>0.78749127002954855</v>
      </c>
      <c r="BY72" s="6">
        <f t="shared" si="154"/>
        <v>4.4554999999999998</v>
      </c>
      <c r="BZ72" s="179">
        <f t="shared" si="155"/>
        <v>0.84980114795706874</v>
      </c>
      <c r="CA72" s="6">
        <f t="shared" si="156"/>
        <v>84.980114795706868</v>
      </c>
      <c r="CB72">
        <f t="shared" si="157"/>
        <v>67</v>
      </c>
      <c r="CD72" s="581">
        <f t="shared" si="140"/>
        <v>-50</v>
      </c>
      <c r="CE72">
        <f t="shared" si="141"/>
        <v>-50</v>
      </c>
    </row>
    <row r="73" spans="5:83" x14ac:dyDescent="0.2">
      <c r="E73" s="176">
        <v>68</v>
      </c>
      <c r="F73" s="223">
        <f t="shared" si="158"/>
        <v>0.68</v>
      </c>
      <c r="G73" s="223">
        <f t="shared" si="142"/>
        <v>0.34</v>
      </c>
      <c r="H73" s="223">
        <f t="shared" si="95"/>
        <v>3.4000000000000004</v>
      </c>
      <c r="I73" s="223">
        <f t="shared" si="159"/>
        <v>1.1220000000000001</v>
      </c>
      <c r="J73" s="559">
        <f t="shared" si="96"/>
        <v>24</v>
      </c>
      <c r="K73" s="454">
        <f t="shared" si="97"/>
        <v>15.899999999999999</v>
      </c>
      <c r="L73" s="454">
        <f t="shared" si="98"/>
        <v>39.9</v>
      </c>
      <c r="M73" s="454"/>
      <c r="N73" s="223">
        <f t="shared" si="99"/>
        <v>0.39849624060150374</v>
      </c>
      <c r="O73" s="178">
        <f t="shared" si="143"/>
        <v>4.8538639832664359</v>
      </c>
      <c r="P73" s="178">
        <f t="shared" si="100"/>
        <v>2.1303609022556387</v>
      </c>
      <c r="Q73" s="223">
        <f t="shared" si="101"/>
        <v>0.9707727966532872</v>
      </c>
      <c r="R73" s="223">
        <f t="shared" si="102"/>
        <v>1.4708678737171019</v>
      </c>
      <c r="S73" s="454">
        <f t="shared" si="103"/>
        <v>5</v>
      </c>
      <c r="T73" s="223">
        <f t="shared" si="104"/>
        <v>1.0507092941998601</v>
      </c>
      <c r="U73" s="223">
        <f t="shared" si="105"/>
        <v>1.3133866177498252</v>
      </c>
      <c r="V73" s="223">
        <f t="shared" si="106"/>
        <v>1.9824703664148304</v>
      </c>
      <c r="W73" s="203">
        <f t="shared" si="107"/>
        <v>350</v>
      </c>
      <c r="X73" s="454">
        <f t="shared" si="144"/>
        <v>303.41122348591614</v>
      </c>
      <c r="Z73" s="223">
        <f t="shared" si="108"/>
        <v>0.91084854994629427</v>
      </c>
      <c r="AA73" s="179">
        <f t="shared" si="109"/>
        <v>1.7185821697099894</v>
      </c>
      <c r="AB73" s="179">
        <f t="shared" si="110"/>
        <v>0.82181824055304764</v>
      </c>
      <c r="AC73" s="179"/>
      <c r="AD73" s="179">
        <f t="shared" si="111"/>
        <v>0.5660377358490567</v>
      </c>
      <c r="AE73" s="563">
        <f t="shared" si="112"/>
        <v>2669.6296296296291</v>
      </c>
      <c r="AF73" s="546">
        <f t="shared" si="113"/>
        <v>8.9150943396226423E-2</v>
      </c>
      <c r="AH73" s="179">
        <f t="shared" si="114"/>
        <v>0.92808045628239222</v>
      </c>
      <c r="AI73" s="179">
        <f t="shared" si="115"/>
        <v>0.92808045628239222</v>
      </c>
      <c r="AJ73" s="179">
        <f t="shared" si="116"/>
        <v>1.6652447824314016</v>
      </c>
      <c r="AL73" s="563">
        <f t="shared" si="117"/>
        <v>680</v>
      </c>
      <c r="AM73" s="472">
        <f t="shared" si="118"/>
        <v>303.41122348591614</v>
      </c>
      <c r="AO73">
        <f t="shared" si="145"/>
        <v>680</v>
      </c>
      <c r="AP73">
        <f t="shared" si="119"/>
        <v>303.41122348591614</v>
      </c>
      <c r="AR73" s="6">
        <f t="shared" si="146"/>
        <v>3.2958569841646557</v>
      </c>
      <c r="AS73" s="6">
        <f t="shared" si="120"/>
        <v>1.1601005703529903</v>
      </c>
      <c r="AT73" s="6">
        <f t="shared" si="147"/>
        <v>2.1357564138116656</v>
      </c>
      <c r="AU73" s="179">
        <f t="shared" si="148"/>
        <v>0.35198753341750993</v>
      </c>
      <c r="AW73" s="6">
        <f t="shared" si="121"/>
        <v>15.777367756800668</v>
      </c>
      <c r="AX73" s="6">
        <f t="shared" si="122"/>
        <v>11.952551330909596</v>
      </c>
      <c r="AY73" s="6">
        <f t="shared" si="123"/>
        <v>0.2801532332931968</v>
      </c>
      <c r="AZ73" s="6"/>
      <c r="BA73" s="179">
        <f t="shared" si="149"/>
        <v>0.3178986187713948</v>
      </c>
      <c r="BB73" s="179">
        <f t="shared" si="124"/>
        <v>1.2940109016732255</v>
      </c>
      <c r="BC73" s="179">
        <f t="shared" si="125"/>
        <v>0.6286736297295753</v>
      </c>
      <c r="BD73" s="179"/>
      <c r="BE73" s="546">
        <f t="shared" si="126"/>
        <v>3.537083613586621E-2</v>
      </c>
      <c r="BF73" s="546">
        <f t="shared" si="127"/>
        <v>8.4265815500151872E-2</v>
      </c>
      <c r="BG73" s="546">
        <f t="shared" si="128"/>
        <v>3.7926402935739515E-3</v>
      </c>
      <c r="BH73" s="546">
        <f t="shared" si="129"/>
        <v>2.4151685095090667E-2</v>
      </c>
      <c r="BI73">
        <f t="shared" si="130"/>
        <v>6.96E-3</v>
      </c>
      <c r="BJ73">
        <f t="shared" si="131"/>
        <v>0.1612928441494681</v>
      </c>
      <c r="BK73" s="472">
        <f t="shared" si="150"/>
        <v>161.2928441494681</v>
      </c>
      <c r="BL73" s="179">
        <f t="shared" si="132"/>
        <v>0.26384000000000002</v>
      </c>
      <c r="BM73" s="179">
        <f t="shared" si="133"/>
        <v>0.13192000000000001</v>
      </c>
      <c r="BN73" s="546"/>
      <c r="BP73" s="472">
        <f t="shared" si="151"/>
        <v>395.76</v>
      </c>
      <c r="BQ73" s="546">
        <f t="shared" si="134"/>
        <v>2.0211906363352124E-2</v>
      </c>
      <c r="BR73" s="546">
        <f t="shared" si="135"/>
        <v>6.6978568545966163E-2</v>
      </c>
      <c r="BS73" s="546">
        <f t="shared" si="136"/>
        <v>3.9523053271735914E-2</v>
      </c>
      <c r="BT73" s="546">
        <f t="shared" si="137"/>
        <v>6.6529334156657002E-2</v>
      </c>
      <c r="BU73" s="546">
        <f t="shared" si="138"/>
        <v>0.21058318478501464</v>
      </c>
      <c r="BV73" s="655">
        <f t="shared" si="139"/>
        <v>2.613382004958691E-2</v>
      </c>
      <c r="BW73" s="472">
        <f t="shared" si="152"/>
        <v>236.71700483460157</v>
      </c>
      <c r="BX73" s="179">
        <f t="shared" si="153"/>
        <v>0.79376984898406966</v>
      </c>
      <c r="BY73" s="6">
        <f t="shared" si="154"/>
        <v>4.5220000000000002</v>
      </c>
      <c r="BZ73" s="179">
        <f t="shared" si="155"/>
        <v>0.85067640783286125</v>
      </c>
      <c r="CA73" s="6">
        <f t="shared" si="156"/>
        <v>85.067640783286123</v>
      </c>
      <c r="CB73">
        <f t="shared" si="157"/>
        <v>68</v>
      </c>
      <c r="CD73" s="581">
        <f t="shared" si="140"/>
        <v>-50</v>
      </c>
      <c r="CE73">
        <f t="shared" si="141"/>
        <v>-50</v>
      </c>
    </row>
    <row r="74" spans="5:83" x14ac:dyDescent="0.2">
      <c r="E74" s="176">
        <v>69</v>
      </c>
      <c r="F74" s="223">
        <f t="shared" si="158"/>
        <v>0.69</v>
      </c>
      <c r="G74" s="223">
        <f t="shared" si="142"/>
        <v>0.34499999999999997</v>
      </c>
      <c r="H74" s="223">
        <f t="shared" si="95"/>
        <v>3.4499999999999997</v>
      </c>
      <c r="I74" s="223">
        <f t="shared" si="159"/>
        <v>1.1384999999999998</v>
      </c>
      <c r="J74" s="559">
        <f t="shared" si="96"/>
        <v>24</v>
      </c>
      <c r="K74" s="454">
        <f t="shared" si="97"/>
        <v>15.899999999999999</v>
      </c>
      <c r="L74" s="454">
        <f t="shared" si="98"/>
        <v>39.9</v>
      </c>
      <c r="M74" s="454"/>
      <c r="N74" s="223">
        <f t="shared" si="99"/>
        <v>0.39849624060150374</v>
      </c>
      <c r="O74" s="178">
        <f t="shared" si="143"/>
        <v>4.8538639832664359</v>
      </c>
      <c r="P74" s="178">
        <f t="shared" si="100"/>
        <v>2.1303609022556387</v>
      </c>
      <c r="Q74" s="223">
        <f t="shared" si="101"/>
        <v>0.9707727966532872</v>
      </c>
      <c r="R74" s="223">
        <f t="shared" si="102"/>
        <v>1.4708678737171019</v>
      </c>
      <c r="S74" s="454">
        <f t="shared" si="103"/>
        <v>5</v>
      </c>
      <c r="T74" s="223">
        <f t="shared" si="104"/>
        <v>1.0661609014675051</v>
      </c>
      <c r="U74" s="223">
        <f t="shared" si="105"/>
        <v>1.3327011268343816</v>
      </c>
      <c r="V74" s="223">
        <f t="shared" si="106"/>
        <v>2.0116243423915194</v>
      </c>
      <c r="W74" s="203">
        <f t="shared" si="107"/>
        <v>350</v>
      </c>
      <c r="X74" s="454">
        <f t="shared" si="144"/>
        <v>299.01395937742461</v>
      </c>
      <c r="Z74" s="223">
        <f t="shared" si="108"/>
        <v>0.91084854994629427</v>
      </c>
      <c r="AA74" s="179">
        <f t="shared" si="109"/>
        <v>1.7185821697099894</v>
      </c>
      <c r="AB74" s="179">
        <f t="shared" si="110"/>
        <v>0.82181824055304764</v>
      </c>
      <c r="AC74" s="179"/>
      <c r="AD74" s="179">
        <f t="shared" si="111"/>
        <v>0.5660377358490567</v>
      </c>
      <c r="AE74" s="563">
        <f t="shared" si="112"/>
        <v>2708.8888888888882</v>
      </c>
      <c r="AF74" s="546">
        <f t="shared" si="113"/>
        <v>8.9150943396226423E-2</v>
      </c>
      <c r="AH74" s="179">
        <f t="shared" si="114"/>
        <v>0.93487967140161943</v>
      </c>
      <c r="AI74" s="179">
        <f t="shared" si="115"/>
        <v>0.93487967140161943</v>
      </c>
      <c r="AJ74" s="179">
        <f t="shared" si="116"/>
        <v>1.6702812380752736</v>
      </c>
      <c r="AL74" s="563">
        <f t="shared" si="117"/>
        <v>690</v>
      </c>
      <c r="AM74" s="472">
        <f t="shared" si="118"/>
        <v>299.01395937742461</v>
      </c>
      <c r="AO74">
        <f t="shared" si="145"/>
        <v>690</v>
      </c>
      <c r="AP74">
        <f t="shared" si="119"/>
        <v>299.01395937742461</v>
      </c>
      <c r="AR74" s="6">
        <f t="shared" si="146"/>
        <v>3.3443254692259008</v>
      </c>
      <c r="AS74" s="6">
        <f t="shared" si="120"/>
        <v>1.1685995892520242</v>
      </c>
      <c r="AT74" s="6">
        <f t="shared" si="147"/>
        <v>2.1757258799738768</v>
      </c>
      <c r="AU74" s="179">
        <f t="shared" si="148"/>
        <v>0.34942759010907987</v>
      </c>
      <c r="AW74" s="6">
        <f t="shared" si="121"/>
        <v>16.126674331677933</v>
      </c>
      <c r="AX74" s="6">
        <f t="shared" si="122"/>
        <v>12.217177523998433</v>
      </c>
      <c r="AY74" s="6">
        <f t="shared" si="123"/>
        <v>0.2895931437465229</v>
      </c>
      <c r="AZ74" s="6"/>
      <c r="BA74" s="179">
        <f t="shared" si="149"/>
        <v>0.31906097314637516</v>
      </c>
      <c r="BB74" s="179">
        <f t="shared" si="124"/>
        <v>1.3060631143761747</v>
      </c>
      <c r="BC74" s="179">
        <f t="shared" si="125"/>
        <v>0.63452899640109151</v>
      </c>
      <c r="BD74" s="179"/>
      <c r="BE74" s="546">
        <f t="shared" si="126"/>
        <v>3.5629966604789169E-2</v>
      </c>
      <c r="BF74" s="546">
        <f t="shared" si="127"/>
        <v>8.3652965072113714E-2</v>
      </c>
      <c r="BG74" s="546">
        <f t="shared" si="128"/>
        <v>3.7376744922178072E-3</v>
      </c>
      <c r="BH74" s="546">
        <f t="shared" si="129"/>
        <v>2.3801660673422684E-2</v>
      </c>
      <c r="BI74">
        <f t="shared" si="130"/>
        <v>6.96E-3</v>
      </c>
      <c r="BJ74">
        <f t="shared" si="131"/>
        <v>0.16057473321455551</v>
      </c>
      <c r="BK74" s="472">
        <f t="shared" si="150"/>
        <v>160.57473321455552</v>
      </c>
      <c r="BL74" s="179">
        <f t="shared" si="132"/>
        <v>0.26771999999999996</v>
      </c>
      <c r="BM74" s="179">
        <f t="shared" si="133"/>
        <v>0.13385999999999998</v>
      </c>
      <c r="BN74" s="546"/>
      <c r="BP74" s="472">
        <f t="shared" si="151"/>
        <v>401.57999999999993</v>
      </c>
      <c r="BQ74" s="546">
        <f t="shared" si="134"/>
        <v>2.0359980917022388E-2</v>
      </c>
      <c r="BR74" s="546">
        <f t="shared" si="135"/>
        <v>6.8232034349359719E-2</v>
      </c>
      <c r="BS74" s="546">
        <f t="shared" si="136"/>
        <v>4.0262704727377641E-2</v>
      </c>
      <c r="BT74" s="546">
        <f t="shared" si="137"/>
        <v>6.5326283965936566E-2</v>
      </c>
      <c r="BU74" s="546">
        <f t="shared" si="138"/>
        <v>0.21182716475911612</v>
      </c>
      <c r="BV74" s="655">
        <f t="shared" si="139"/>
        <v>2.6133820049586913E-2</v>
      </c>
      <c r="BW74" s="472">
        <f t="shared" si="152"/>
        <v>237.96098480870305</v>
      </c>
      <c r="BX74" s="179">
        <f t="shared" si="153"/>
        <v>0.80011571802325843</v>
      </c>
      <c r="BY74" s="6">
        <f t="shared" si="154"/>
        <v>4.5884999999999998</v>
      </c>
      <c r="BZ74" s="179">
        <f t="shared" si="155"/>
        <v>0.85151739149868899</v>
      </c>
      <c r="CA74" s="6">
        <f t="shared" si="156"/>
        <v>85.151739149868902</v>
      </c>
      <c r="CB74">
        <f t="shared" si="157"/>
        <v>69</v>
      </c>
      <c r="CD74" s="581">
        <f t="shared" si="140"/>
        <v>-50</v>
      </c>
      <c r="CE74">
        <f t="shared" si="141"/>
        <v>-50</v>
      </c>
    </row>
    <row r="75" spans="5:83" x14ac:dyDescent="0.2">
      <c r="E75" s="176">
        <v>70</v>
      </c>
      <c r="F75" s="223">
        <f t="shared" si="158"/>
        <v>0.7</v>
      </c>
      <c r="G75" s="223">
        <f t="shared" si="142"/>
        <v>0.35</v>
      </c>
      <c r="H75" s="223">
        <f t="shared" si="95"/>
        <v>3.5</v>
      </c>
      <c r="I75" s="223">
        <f t="shared" si="159"/>
        <v>1.1549999999999998</v>
      </c>
      <c r="J75" s="559">
        <f t="shared" si="96"/>
        <v>24</v>
      </c>
      <c r="K75" s="454">
        <f t="shared" si="97"/>
        <v>15.899999999999999</v>
      </c>
      <c r="L75" s="454">
        <f t="shared" si="98"/>
        <v>39.9</v>
      </c>
      <c r="M75" s="454"/>
      <c r="N75" s="223">
        <f t="shared" si="99"/>
        <v>0.39849624060150374</v>
      </c>
      <c r="O75" s="178">
        <f t="shared" si="143"/>
        <v>4.8538639832664359</v>
      </c>
      <c r="P75" s="178">
        <f t="shared" si="100"/>
        <v>2.1303609022556387</v>
      </c>
      <c r="Q75" s="223">
        <f t="shared" si="101"/>
        <v>0.9707727966532872</v>
      </c>
      <c r="R75" s="223">
        <f t="shared" si="102"/>
        <v>1.4708678737171019</v>
      </c>
      <c r="S75" s="454">
        <f t="shared" si="103"/>
        <v>5</v>
      </c>
      <c r="T75" s="223">
        <f t="shared" si="104"/>
        <v>1.08161250873515</v>
      </c>
      <c r="U75" s="223">
        <f t="shared" si="105"/>
        <v>1.3520156359189375</v>
      </c>
      <c r="V75" s="223">
        <f t="shared" si="106"/>
        <v>2.0407783183682078</v>
      </c>
      <c r="W75" s="203">
        <f t="shared" si="107"/>
        <v>350</v>
      </c>
      <c r="X75" s="454">
        <f t="shared" si="144"/>
        <v>294.74233138631854</v>
      </c>
      <c r="Z75" s="223">
        <f t="shared" si="108"/>
        <v>0.91084854994629427</v>
      </c>
      <c r="AA75" s="179">
        <f t="shared" si="109"/>
        <v>1.7185821697099894</v>
      </c>
      <c r="AB75" s="179">
        <f t="shared" si="110"/>
        <v>0.82181824055304764</v>
      </c>
      <c r="AC75" s="179"/>
      <c r="AD75" s="179">
        <f t="shared" si="111"/>
        <v>0.5660377358490567</v>
      </c>
      <c r="AE75" s="563">
        <f t="shared" si="112"/>
        <v>2748.1481481481474</v>
      </c>
      <c r="AF75" s="546">
        <f t="shared" si="113"/>
        <v>8.9150943396226423E-2</v>
      </c>
      <c r="AH75" s="179">
        <f t="shared" si="114"/>
        <v>0.94162979278836889</v>
      </c>
      <c r="AI75" s="179">
        <f t="shared" si="115"/>
        <v>0.94162979278836889</v>
      </c>
      <c r="AJ75" s="179">
        <f t="shared" si="116"/>
        <v>1.6752813279913843</v>
      </c>
      <c r="AL75" s="563">
        <f t="shared" si="117"/>
        <v>700</v>
      </c>
      <c r="AM75" s="472">
        <f t="shared" si="118"/>
        <v>294.74233138631854</v>
      </c>
      <c r="AO75">
        <f t="shared" si="145"/>
        <v>700</v>
      </c>
      <c r="AP75">
        <f t="shared" si="119"/>
        <v>294.74233138631854</v>
      </c>
      <c r="AR75" s="6">
        <f t="shared" si="146"/>
        <v>3.3927939542871455</v>
      </c>
      <c r="AS75" s="6">
        <f t="shared" si="120"/>
        <v>1.177037240985461</v>
      </c>
      <c r="AT75" s="6">
        <f t="shared" si="147"/>
        <v>2.2157567133016842</v>
      </c>
      <c r="AU75" s="179">
        <f t="shared" si="148"/>
        <v>0.34692270053657487</v>
      </c>
      <c r="AW75" s="6">
        <f t="shared" si="121"/>
        <v>16.47852137379645</v>
      </c>
      <c r="AX75" s="6">
        <f t="shared" si="122"/>
        <v>12.483728313482162</v>
      </c>
      <c r="AY75" s="6">
        <f t="shared" si="123"/>
        <v>0.29919554384860703</v>
      </c>
      <c r="AZ75" s="6"/>
      <c r="BA75" s="179">
        <f t="shared" si="149"/>
        <v>0.32021076104953283</v>
      </c>
      <c r="BB75" s="179">
        <f t="shared" si="124"/>
        <v>1.3180233748203065</v>
      </c>
      <c r="BC75" s="179">
        <f t="shared" si="125"/>
        <v>0.64033968960019894</v>
      </c>
      <c r="BD75" s="179"/>
      <c r="BE75" s="546">
        <f t="shared" si="126"/>
        <v>3.5887226022172355E-2</v>
      </c>
      <c r="BF75" s="546">
        <f t="shared" si="127"/>
        <v>8.3053294508456013E-2</v>
      </c>
      <c r="BG75" s="546">
        <f t="shared" si="128"/>
        <v>3.6842791423289814E-3</v>
      </c>
      <c r="BH75" s="546">
        <f t="shared" si="129"/>
        <v>2.3461636949516647E-2</v>
      </c>
      <c r="BI75">
        <f t="shared" si="130"/>
        <v>6.96E-3</v>
      </c>
      <c r="BJ75">
        <f t="shared" si="131"/>
        <v>0.15987929903888037</v>
      </c>
      <c r="BK75" s="472">
        <f t="shared" si="150"/>
        <v>159.87929903888036</v>
      </c>
      <c r="BL75" s="179">
        <f t="shared" si="132"/>
        <v>0.27159999999999995</v>
      </c>
      <c r="BM75" s="179">
        <f t="shared" si="133"/>
        <v>0.13579999999999998</v>
      </c>
      <c r="BN75" s="546"/>
      <c r="BP75" s="472">
        <f t="shared" si="151"/>
        <v>407.39999999999992</v>
      </c>
      <c r="BQ75" s="546">
        <f t="shared" si="134"/>
        <v>2.0506986298384204E-2</v>
      </c>
      <c r="BR75" s="546">
        <f t="shared" si="135"/>
        <v>6.9487424662908415E-2</v>
      </c>
      <c r="BS75" s="546">
        <f t="shared" si="136"/>
        <v>4.1003491807727915E-2</v>
      </c>
      <c r="BT75" s="546">
        <f t="shared" si="137"/>
        <v>6.4161833775915403E-2</v>
      </c>
      <c r="BU75" s="546">
        <f t="shared" si="138"/>
        <v>0.2131128720202371</v>
      </c>
      <c r="BV75" s="655">
        <f t="shared" si="139"/>
        <v>2.6133820049586906E-2</v>
      </c>
      <c r="BW75" s="472">
        <f t="shared" si="152"/>
        <v>239.24669206982401</v>
      </c>
      <c r="BX75" s="179">
        <f t="shared" si="153"/>
        <v>0.80652599110870427</v>
      </c>
      <c r="BY75" s="6">
        <f t="shared" si="154"/>
        <v>4.6549999999999994</v>
      </c>
      <c r="BZ75" s="179">
        <f t="shared" si="155"/>
        <v>0.85232588979312407</v>
      </c>
      <c r="CA75" s="6">
        <f t="shared" si="156"/>
        <v>85.232588979312411</v>
      </c>
      <c r="CB75">
        <f t="shared" si="157"/>
        <v>70</v>
      </c>
      <c r="CD75" s="581">
        <f t="shared" si="140"/>
        <v>-50</v>
      </c>
      <c r="CE75">
        <f t="shared" si="141"/>
        <v>-50</v>
      </c>
    </row>
    <row r="76" spans="5:83" x14ac:dyDescent="0.2">
      <c r="E76" s="176">
        <v>71</v>
      </c>
      <c r="F76" s="223">
        <f t="shared" si="158"/>
        <v>0.71</v>
      </c>
      <c r="G76" s="223">
        <f t="shared" si="142"/>
        <v>0.35499999999999998</v>
      </c>
      <c r="H76" s="223">
        <f t="shared" si="95"/>
        <v>3.55</v>
      </c>
      <c r="I76" s="223">
        <f t="shared" si="159"/>
        <v>1.1715</v>
      </c>
      <c r="J76" s="559">
        <f t="shared" si="96"/>
        <v>24</v>
      </c>
      <c r="K76" s="454">
        <f t="shared" si="97"/>
        <v>15.899999999999999</v>
      </c>
      <c r="L76" s="454">
        <f t="shared" si="98"/>
        <v>39.9</v>
      </c>
      <c r="M76" s="454"/>
      <c r="N76" s="223">
        <f t="shared" si="99"/>
        <v>0.39849624060150374</v>
      </c>
      <c r="O76" s="178">
        <f t="shared" si="143"/>
        <v>4.8538639832664359</v>
      </c>
      <c r="P76" s="178">
        <f t="shared" si="100"/>
        <v>2.1303609022556387</v>
      </c>
      <c r="Q76" s="223">
        <f t="shared" si="101"/>
        <v>0.9707727966532872</v>
      </c>
      <c r="R76" s="223">
        <f t="shared" si="102"/>
        <v>1.4708678737171019</v>
      </c>
      <c r="S76" s="454">
        <f t="shared" si="103"/>
        <v>5</v>
      </c>
      <c r="T76" s="223">
        <f t="shared" si="104"/>
        <v>1.0970641160027952</v>
      </c>
      <c r="U76" s="223">
        <f t="shared" si="105"/>
        <v>1.371330145003494</v>
      </c>
      <c r="V76" s="223">
        <f t="shared" si="106"/>
        <v>2.069932294344897</v>
      </c>
      <c r="W76" s="203">
        <f t="shared" si="107"/>
        <v>350</v>
      </c>
      <c r="X76" s="454">
        <f t="shared" si="144"/>
        <v>290.59103094425768</v>
      </c>
      <c r="Z76" s="223">
        <f t="shared" si="108"/>
        <v>0.91084854994629427</v>
      </c>
      <c r="AA76" s="179">
        <f t="shared" si="109"/>
        <v>1.7185821697099894</v>
      </c>
      <c r="AB76" s="179">
        <f t="shared" si="110"/>
        <v>0.82181824055304764</v>
      </c>
      <c r="AC76" s="179"/>
      <c r="AD76" s="179">
        <f t="shared" si="111"/>
        <v>0.5660377358490567</v>
      </c>
      <c r="AE76" s="563">
        <f t="shared" si="112"/>
        <v>2787.4074074074069</v>
      </c>
      <c r="AF76" s="546">
        <f t="shared" si="113"/>
        <v>8.9150943396226423E-2</v>
      </c>
      <c r="AH76" s="179">
        <f t="shared" si="114"/>
        <v>0.94833186877449882</v>
      </c>
      <c r="AI76" s="179">
        <f t="shared" si="115"/>
        <v>0.94833186877449882</v>
      </c>
      <c r="AJ76" s="179">
        <f t="shared" si="116"/>
        <v>1.6802458287218509</v>
      </c>
      <c r="AL76" s="563">
        <f t="shared" si="117"/>
        <v>710</v>
      </c>
      <c r="AM76" s="472">
        <f t="shared" si="118"/>
        <v>290.59103094425768</v>
      </c>
      <c r="AO76">
        <f t="shared" si="145"/>
        <v>710</v>
      </c>
      <c r="AP76">
        <f t="shared" si="119"/>
        <v>290.59103094425768</v>
      </c>
      <c r="AR76" s="6">
        <f t="shared" si="146"/>
        <v>3.441262439348391</v>
      </c>
      <c r="AS76" s="6">
        <f t="shared" si="120"/>
        <v>1.1854148359681236</v>
      </c>
      <c r="AT76" s="6">
        <f t="shared" si="147"/>
        <v>2.2558476033802677</v>
      </c>
      <c r="AU76" s="179">
        <f t="shared" si="148"/>
        <v>0.34447091928059514</v>
      </c>
      <c r="AW76" s="6">
        <f t="shared" si="121"/>
        <v>16.832890670747354</v>
      </c>
      <c r="AX76" s="6">
        <f t="shared" si="122"/>
        <v>12.752189902081328</v>
      </c>
      <c r="AY76" s="6">
        <f t="shared" si="123"/>
        <v>0.30896060925925728</v>
      </c>
      <c r="AZ76" s="6"/>
      <c r="BA76" s="179">
        <f t="shared" si="149"/>
        <v>0.32134829498692702</v>
      </c>
      <c r="BB76" s="179">
        <f t="shared" si="124"/>
        <v>1.3298937776307376</v>
      </c>
      <c r="BC76" s="179">
        <f t="shared" si="125"/>
        <v>0.64610672696560012</v>
      </c>
      <c r="BD76" s="179"/>
      <c r="BE76" s="546">
        <f t="shared" si="126"/>
        <v>3.6142654341851765E-2</v>
      </c>
      <c r="BF76" s="546">
        <f t="shared" si="127"/>
        <v>8.246633807577447E-2</v>
      </c>
      <c r="BG76" s="546">
        <f t="shared" si="128"/>
        <v>3.6323878868032211E-3</v>
      </c>
      <c r="BH76" s="546">
        <f t="shared" si="129"/>
        <v>2.3131191358678384E-2</v>
      </c>
      <c r="BI76">
        <f t="shared" si="130"/>
        <v>6.96E-3</v>
      </c>
      <c r="BJ76">
        <f t="shared" si="131"/>
        <v>0.15920563052567921</v>
      </c>
      <c r="BK76" s="472">
        <f t="shared" si="150"/>
        <v>159.2056305256792</v>
      </c>
      <c r="BL76" s="179">
        <f t="shared" si="132"/>
        <v>0.27547999999999995</v>
      </c>
      <c r="BM76" s="179">
        <f t="shared" si="133"/>
        <v>0.13773999999999997</v>
      </c>
      <c r="BN76" s="546"/>
      <c r="BP76" s="472">
        <f t="shared" si="151"/>
        <v>413.21999999999991</v>
      </c>
      <c r="BQ76" s="546">
        <f t="shared" si="134"/>
        <v>2.0652945338201015E-2</v>
      </c>
      <c r="BR76" s="546">
        <f t="shared" si="135"/>
        <v>7.0744698391238148E-2</v>
      </c>
      <c r="BS76" s="546">
        <f t="shared" si="136"/>
        <v>4.1745390263020057E-2</v>
      </c>
      <c r="BT76" s="546">
        <f t="shared" si="137"/>
        <v>6.3034219822025186E-2</v>
      </c>
      <c r="BU76" s="546">
        <f t="shared" si="138"/>
        <v>0.21443849726402076</v>
      </c>
      <c r="BV76" s="655">
        <f t="shared" si="139"/>
        <v>2.6133820049586906E-2</v>
      </c>
      <c r="BW76" s="472">
        <f t="shared" si="152"/>
        <v>240.57231731360767</v>
      </c>
      <c r="BX76" s="179">
        <f t="shared" si="153"/>
        <v>0.81299794783928681</v>
      </c>
      <c r="BY76" s="6">
        <f t="shared" si="154"/>
        <v>4.7214999999999998</v>
      </c>
      <c r="BZ76" s="179">
        <f t="shared" si="155"/>
        <v>0.85310357768644807</v>
      </c>
      <c r="CA76" s="6">
        <f t="shared" si="156"/>
        <v>85.310357768644806</v>
      </c>
      <c r="CB76">
        <f t="shared" si="157"/>
        <v>71</v>
      </c>
      <c r="CD76" s="581">
        <f t="shared" si="140"/>
        <v>-50</v>
      </c>
      <c r="CE76">
        <f t="shared" si="141"/>
        <v>-50</v>
      </c>
    </row>
    <row r="77" spans="5:83" x14ac:dyDescent="0.2">
      <c r="E77" s="176">
        <v>72</v>
      </c>
      <c r="F77" s="223">
        <f t="shared" si="158"/>
        <v>0.72</v>
      </c>
      <c r="G77" s="223">
        <f t="shared" si="142"/>
        <v>0.36</v>
      </c>
      <c r="H77" s="223">
        <f t="shared" si="95"/>
        <v>3.5999999999999996</v>
      </c>
      <c r="I77" s="223">
        <f t="shared" si="159"/>
        <v>1.1879999999999999</v>
      </c>
      <c r="J77" s="559">
        <f t="shared" si="96"/>
        <v>24</v>
      </c>
      <c r="K77" s="454">
        <f t="shared" si="97"/>
        <v>15.899999999999999</v>
      </c>
      <c r="L77" s="454">
        <f t="shared" si="98"/>
        <v>39.9</v>
      </c>
      <c r="M77" s="454"/>
      <c r="N77" s="223">
        <f t="shared" si="99"/>
        <v>0.39849624060150374</v>
      </c>
      <c r="O77" s="178">
        <f t="shared" si="143"/>
        <v>4.8538639832664359</v>
      </c>
      <c r="P77" s="178">
        <f t="shared" si="100"/>
        <v>2.1303609022556387</v>
      </c>
      <c r="Q77" s="223">
        <f t="shared" si="101"/>
        <v>0.9707727966532872</v>
      </c>
      <c r="R77" s="223">
        <f t="shared" si="102"/>
        <v>1.4708678737171019</v>
      </c>
      <c r="S77" s="454">
        <f t="shared" si="103"/>
        <v>5</v>
      </c>
      <c r="T77" s="223">
        <f t="shared" si="104"/>
        <v>1.1125157232704401</v>
      </c>
      <c r="U77" s="223">
        <f t="shared" si="105"/>
        <v>1.3906446540880502</v>
      </c>
      <c r="V77" s="223">
        <f t="shared" si="106"/>
        <v>2.0990862703215853</v>
      </c>
      <c r="W77" s="203">
        <f t="shared" si="107"/>
        <v>350</v>
      </c>
      <c r="X77" s="454">
        <f t="shared" si="144"/>
        <v>286.55504440336529</v>
      </c>
      <c r="Z77" s="223">
        <f t="shared" si="108"/>
        <v>0.91084854994629427</v>
      </c>
      <c r="AA77" s="179">
        <f t="shared" si="109"/>
        <v>1.7185821697099894</v>
      </c>
      <c r="AB77" s="179">
        <f t="shared" si="110"/>
        <v>0.82181824055304764</v>
      </c>
      <c r="AC77" s="179"/>
      <c r="AD77" s="179">
        <f t="shared" si="111"/>
        <v>0.5660377358490567</v>
      </c>
      <c r="AE77" s="563">
        <f t="shared" si="112"/>
        <v>2826.6666666666661</v>
      </c>
      <c r="AF77" s="546">
        <f t="shared" si="113"/>
        <v>8.9150943396226423E-2</v>
      </c>
      <c r="AH77" s="179">
        <f t="shared" si="114"/>
        <v>0.95498691090506571</v>
      </c>
      <c r="AI77" s="179">
        <f t="shared" si="115"/>
        <v>0.95498691090506571</v>
      </c>
      <c r="AJ77" s="179">
        <f t="shared" si="116"/>
        <v>1.6851754895593078</v>
      </c>
      <c r="AL77" s="563">
        <f t="shared" si="117"/>
        <v>720</v>
      </c>
      <c r="AM77" s="472">
        <f t="shared" si="118"/>
        <v>286.55504440336529</v>
      </c>
      <c r="AO77">
        <f t="shared" si="145"/>
        <v>720</v>
      </c>
      <c r="AP77">
        <f t="shared" si="119"/>
        <v>286.55504440336529</v>
      </c>
      <c r="AR77" s="6">
        <f t="shared" si="146"/>
        <v>3.4897309244096353</v>
      </c>
      <c r="AS77" s="6">
        <f t="shared" si="120"/>
        <v>1.1937336386313322</v>
      </c>
      <c r="AT77" s="6">
        <f t="shared" si="147"/>
        <v>2.2959972857783031</v>
      </c>
      <c r="AU77" s="179">
        <f t="shared" si="148"/>
        <v>0.34207039582379217</v>
      </c>
      <c r="AW77" s="6">
        <f t="shared" si="121"/>
        <v>17.189764396291185</v>
      </c>
      <c r="AX77" s="6">
        <f t="shared" si="122"/>
        <v>13.022548785069077</v>
      </c>
      <c r="AY77" s="6">
        <f t="shared" si="123"/>
        <v>0.31888851191365314</v>
      </c>
      <c r="AZ77" s="6"/>
      <c r="BA77" s="179">
        <f t="shared" si="149"/>
        <v>0.32247387542316169</v>
      </c>
      <c r="BB77" s="179">
        <f t="shared" si="124"/>
        <v>1.3416763384013688</v>
      </c>
      <c r="BC77" s="179">
        <f t="shared" si="125"/>
        <v>0.65183108773999843</v>
      </c>
      <c r="BD77" s="179"/>
      <c r="BE77" s="546">
        <f t="shared" si="126"/>
        <v>3.6396290115651479E-2</v>
      </c>
      <c r="BF77" s="546">
        <f t="shared" si="127"/>
        <v>8.1891652760215844E-2</v>
      </c>
      <c r="BG77" s="546">
        <f t="shared" si="128"/>
        <v>3.5819380550420657E-3</v>
      </c>
      <c r="BH77" s="546">
        <f t="shared" si="129"/>
        <v>2.2809924812030077E-2</v>
      </c>
      <c r="BI77">
        <f t="shared" si="130"/>
        <v>6.96E-3</v>
      </c>
      <c r="BJ77">
        <f t="shared" si="131"/>
        <v>0.15855286495738141</v>
      </c>
      <c r="BK77" s="472">
        <f t="shared" si="150"/>
        <v>158.55286495738142</v>
      </c>
      <c r="BL77" s="179">
        <f t="shared" si="132"/>
        <v>0.27936</v>
      </c>
      <c r="BM77" s="179">
        <f t="shared" si="133"/>
        <v>0.13968</v>
      </c>
      <c r="BN77" s="546"/>
      <c r="BP77" s="472">
        <f t="shared" si="151"/>
        <v>419.03999999999996</v>
      </c>
      <c r="BQ77" s="546">
        <f t="shared" si="134"/>
        <v>2.0797880066086561E-2</v>
      </c>
      <c r="BR77" s="546">
        <f t="shared" si="135"/>
        <v>7.2003815881044167E-2</v>
      </c>
      <c r="BS77" s="546">
        <f t="shared" si="136"/>
        <v>4.2488376694430952E-2</v>
      </c>
      <c r="BT77" s="546">
        <f t="shared" si="137"/>
        <v>6.1941782268113407E-2</v>
      </c>
      <c r="BU77" s="546">
        <f t="shared" si="138"/>
        <v>0.21580233673167426</v>
      </c>
      <c r="BV77" s="655">
        <f t="shared" si="139"/>
        <v>2.6133820049586913E-2</v>
      </c>
      <c r="BW77" s="472">
        <f t="shared" si="152"/>
        <v>241.93615678126119</v>
      </c>
      <c r="BX77" s="179">
        <f t="shared" si="153"/>
        <v>0.8195290217386425</v>
      </c>
      <c r="BY77" s="6">
        <f t="shared" si="154"/>
        <v>4.7879999999999994</v>
      </c>
      <c r="BZ77" s="179">
        <f t="shared" si="155"/>
        <v>0.85385202313504149</v>
      </c>
      <c r="CA77" s="6">
        <f t="shared" si="156"/>
        <v>85.385202313504152</v>
      </c>
      <c r="CB77">
        <f t="shared" si="157"/>
        <v>72</v>
      </c>
      <c r="CD77" s="581">
        <f t="shared" si="140"/>
        <v>-50</v>
      </c>
      <c r="CE77">
        <f t="shared" si="141"/>
        <v>-50</v>
      </c>
    </row>
    <row r="78" spans="5:83" x14ac:dyDescent="0.2">
      <c r="E78" s="176">
        <v>73</v>
      </c>
      <c r="F78" s="223">
        <f t="shared" si="158"/>
        <v>0.73</v>
      </c>
      <c r="G78" s="223">
        <f t="shared" si="142"/>
        <v>0.36499999999999999</v>
      </c>
      <c r="H78" s="223">
        <f t="shared" si="95"/>
        <v>3.65</v>
      </c>
      <c r="I78" s="223">
        <f t="shared" si="159"/>
        <v>1.2044999999999999</v>
      </c>
      <c r="J78" s="559">
        <f t="shared" si="96"/>
        <v>24</v>
      </c>
      <c r="K78" s="454">
        <f t="shared" si="97"/>
        <v>15.899999999999999</v>
      </c>
      <c r="L78" s="454">
        <f t="shared" si="98"/>
        <v>39.9</v>
      </c>
      <c r="M78" s="454"/>
      <c r="N78" s="223">
        <f t="shared" si="99"/>
        <v>0.39849624060150374</v>
      </c>
      <c r="O78" s="178">
        <f t="shared" si="143"/>
        <v>4.8538639832664359</v>
      </c>
      <c r="P78" s="178">
        <f t="shared" si="100"/>
        <v>2.1303609022556387</v>
      </c>
      <c r="Q78" s="223">
        <f t="shared" si="101"/>
        <v>0.9707727966532872</v>
      </c>
      <c r="R78" s="223">
        <f t="shared" si="102"/>
        <v>1.4708678737171019</v>
      </c>
      <c r="S78" s="454">
        <f t="shared" si="103"/>
        <v>5</v>
      </c>
      <c r="T78" s="223">
        <f t="shared" si="104"/>
        <v>1.1279673305380851</v>
      </c>
      <c r="U78" s="223">
        <f t="shared" si="105"/>
        <v>1.4099591631726063</v>
      </c>
      <c r="V78" s="223">
        <f t="shared" si="106"/>
        <v>2.1282402462982741</v>
      </c>
      <c r="W78" s="203">
        <f t="shared" si="107"/>
        <v>350</v>
      </c>
      <c r="X78" s="454">
        <f t="shared" si="144"/>
        <v>282.62963283619587</v>
      </c>
      <c r="Z78" s="223">
        <f t="shared" si="108"/>
        <v>0.91084854994629427</v>
      </c>
      <c r="AA78" s="179">
        <f t="shared" si="109"/>
        <v>1.7185821697099894</v>
      </c>
      <c r="AB78" s="179">
        <f t="shared" si="110"/>
        <v>0.82181824055304764</v>
      </c>
      <c r="AC78" s="179"/>
      <c r="AD78" s="179">
        <f t="shared" si="111"/>
        <v>0.5660377358490567</v>
      </c>
      <c r="AE78" s="563">
        <f t="shared" si="112"/>
        <v>2865.9259259259252</v>
      </c>
      <c r="AF78" s="546">
        <f t="shared" si="113"/>
        <v>8.9150943396226423E-2</v>
      </c>
      <c r="AH78" s="179">
        <f t="shared" si="114"/>
        <v>0.96159589572058113</v>
      </c>
      <c r="AI78" s="179">
        <f t="shared" si="115"/>
        <v>0.96159589572058113</v>
      </c>
      <c r="AJ78" s="179">
        <f t="shared" si="116"/>
        <v>1.6900710338670972</v>
      </c>
      <c r="AL78" s="563">
        <f t="shared" si="117"/>
        <v>730</v>
      </c>
      <c r="AM78" s="472">
        <f t="shared" si="118"/>
        <v>282.62963283619587</v>
      </c>
      <c r="AO78">
        <f t="shared" si="145"/>
        <v>730</v>
      </c>
      <c r="AP78">
        <f t="shared" si="119"/>
        <v>282.62963283619587</v>
      </c>
      <c r="AR78" s="6">
        <f t="shared" si="146"/>
        <v>3.5381994094708804</v>
      </c>
      <c r="AS78" s="6">
        <f t="shared" si="120"/>
        <v>1.2019948696507265</v>
      </c>
      <c r="AT78" s="6">
        <f t="shared" si="147"/>
        <v>2.3362045398201539</v>
      </c>
      <c r="AU78" s="179">
        <f t="shared" si="148"/>
        <v>0.33971936868037594</v>
      </c>
      <c r="AW78" s="6">
        <f t="shared" si="121"/>
        <v>17.549125096900607</v>
      </c>
      <c r="AX78" s="6">
        <f t="shared" si="122"/>
        <v>13.294791740076217</v>
      </c>
      <c r="AY78" s="6">
        <f t="shared" si="123"/>
        <v>0.32897942015214354</v>
      </c>
      <c r="AZ78" s="6"/>
      <c r="BA78" s="179">
        <f t="shared" si="149"/>
        <v>0.32358779140535554</v>
      </c>
      <c r="BB78" s="179">
        <f t="shared" si="124"/>
        <v>1.3533729978393383</v>
      </c>
      <c r="BC78" s="179">
        <f t="shared" si="125"/>
        <v>0.65751371478361176</v>
      </c>
      <c r="BD78" s="179"/>
      <c r="BE78" s="546">
        <f t="shared" si="126"/>
        <v>3.6648170561308556E-2</v>
      </c>
      <c r="BF78" s="546">
        <f t="shared" si="127"/>
        <v>8.1328816862082001E-2</v>
      </c>
      <c r="BG78" s="546">
        <f t="shared" si="128"/>
        <v>3.5328704104524481E-3</v>
      </c>
      <c r="BH78" s="546">
        <f t="shared" si="129"/>
        <v>2.2497460088577611E-2</v>
      </c>
      <c r="BI78">
        <f t="shared" si="130"/>
        <v>6.96E-3</v>
      </c>
      <c r="BJ78">
        <f t="shared" si="131"/>
        <v>0.15792018480134598</v>
      </c>
      <c r="BK78" s="472">
        <f t="shared" si="150"/>
        <v>157.92018480134598</v>
      </c>
      <c r="BL78" s="179">
        <f t="shared" si="132"/>
        <v>0.28323999999999999</v>
      </c>
      <c r="BM78" s="179">
        <f t="shared" si="133"/>
        <v>0.14162</v>
      </c>
      <c r="BN78" s="546"/>
      <c r="BP78" s="472">
        <f t="shared" si="151"/>
        <v>424.86</v>
      </c>
      <c r="BQ78" s="546">
        <f t="shared" si="134"/>
        <v>2.0941811749319181E-2</v>
      </c>
      <c r="BR78" s="546">
        <f t="shared" si="135"/>
        <v>7.3264738851225503E-2</v>
      </c>
      <c r="BS78" s="546">
        <f t="shared" si="136"/>
        <v>4.3232428512854477E-2</v>
      </c>
      <c r="BT78" s="546">
        <f t="shared" si="137"/>
        <v>6.0882957745104466E-2</v>
      </c>
      <c r="BU78" s="546">
        <f t="shared" si="138"/>
        <v>0.21720278467097284</v>
      </c>
      <c r="BV78" s="655">
        <f t="shared" si="139"/>
        <v>2.6133820049586916E-2</v>
      </c>
      <c r="BW78" s="472">
        <f t="shared" si="152"/>
        <v>243.33660472055976</v>
      </c>
      <c r="BX78" s="179">
        <f t="shared" si="153"/>
        <v>0.8261167895219057</v>
      </c>
      <c r="BY78" s="6">
        <f t="shared" si="154"/>
        <v>4.8544999999999998</v>
      </c>
      <c r="BZ78" s="179">
        <f t="shared" si="155"/>
        <v>0.85457269516125312</v>
      </c>
      <c r="CA78" s="6">
        <f t="shared" si="156"/>
        <v>85.457269516125308</v>
      </c>
      <c r="CB78">
        <f t="shared" si="157"/>
        <v>73</v>
      </c>
      <c r="CD78" s="581">
        <f t="shared" si="140"/>
        <v>-50</v>
      </c>
      <c r="CE78">
        <f t="shared" si="141"/>
        <v>-50</v>
      </c>
    </row>
    <row r="79" spans="5:83" x14ac:dyDescent="0.2">
      <c r="E79" s="176">
        <v>74</v>
      </c>
      <c r="F79" s="223">
        <f t="shared" si="158"/>
        <v>0.74</v>
      </c>
      <c r="G79" s="223">
        <f t="shared" si="142"/>
        <v>0.37</v>
      </c>
      <c r="H79" s="223">
        <f t="shared" si="95"/>
        <v>3.7</v>
      </c>
      <c r="I79" s="223">
        <f t="shared" si="159"/>
        <v>1.2209999999999999</v>
      </c>
      <c r="J79" s="559">
        <f t="shared" si="96"/>
        <v>24</v>
      </c>
      <c r="K79" s="454">
        <f t="shared" si="97"/>
        <v>15.899999999999999</v>
      </c>
      <c r="L79" s="454">
        <f t="shared" si="98"/>
        <v>39.9</v>
      </c>
      <c r="M79" s="454"/>
      <c r="N79" s="223">
        <f t="shared" si="99"/>
        <v>0.39849624060150374</v>
      </c>
      <c r="O79" s="178">
        <f t="shared" si="143"/>
        <v>4.8538639832664359</v>
      </c>
      <c r="P79" s="178">
        <f t="shared" si="100"/>
        <v>2.1303609022556387</v>
      </c>
      <c r="Q79" s="223">
        <f t="shared" si="101"/>
        <v>0.9707727966532872</v>
      </c>
      <c r="R79" s="223">
        <f t="shared" si="102"/>
        <v>1.4708678737171019</v>
      </c>
      <c r="S79" s="454">
        <f t="shared" si="103"/>
        <v>5</v>
      </c>
      <c r="T79" s="223">
        <f t="shared" si="104"/>
        <v>1.1434189378057302</v>
      </c>
      <c r="U79" s="223">
        <f t="shared" si="105"/>
        <v>1.4292736722571628</v>
      </c>
      <c r="V79" s="223">
        <f t="shared" si="106"/>
        <v>2.1573942222749629</v>
      </c>
      <c r="W79" s="203">
        <f t="shared" si="107"/>
        <v>350</v>
      </c>
      <c r="X79" s="454">
        <f t="shared" si="144"/>
        <v>278.81031347354451</v>
      </c>
      <c r="Z79" s="223">
        <f t="shared" si="108"/>
        <v>0.91084854994629427</v>
      </c>
      <c r="AA79" s="179">
        <f t="shared" si="109"/>
        <v>1.7185821697099894</v>
      </c>
      <c r="AB79" s="179">
        <f t="shared" si="110"/>
        <v>0.82181824055304764</v>
      </c>
      <c r="AC79" s="179"/>
      <c r="AD79" s="179">
        <f t="shared" si="111"/>
        <v>0.5660377358490567</v>
      </c>
      <c r="AE79" s="563">
        <f t="shared" si="112"/>
        <v>2905.1851851851848</v>
      </c>
      <c r="AF79" s="546">
        <f t="shared" si="113"/>
        <v>8.9150943396226423E-2</v>
      </c>
      <c r="AH79" s="179">
        <f t="shared" si="114"/>
        <v>0.96815976642976309</v>
      </c>
      <c r="AI79" s="179">
        <f t="shared" si="115"/>
        <v>0.96815976642976309</v>
      </c>
      <c r="AJ79" s="179">
        <f t="shared" si="116"/>
        <v>1.6949331603183431</v>
      </c>
      <c r="AL79" s="563">
        <f t="shared" si="117"/>
        <v>740</v>
      </c>
      <c r="AM79" s="472">
        <f t="shared" si="118"/>
        <v>278.81031347354451</v>
      </c>
      <c r="AO79">
        <f t="shared" si="145"/>
        <v>740</v>
      </c>
      <c r="AP79">
        <f t="shared" si="119"/>
        <v>278.81031347354451</v>
      </c>
      <c r="AR79" s="6">
        <f t="shared" si="146"/>
        <v>3.5866678945321264</v>
      </c>
      <c r="AS79" s="6">
        <f t="shared" si="120"/>
        <v>1.2101997080372038</v>
      </c>
      <c r="AT79" s="6">
        <f t="shared" si="147"/>
        <v>2.3764681864949226</v>
      </c>
      <c r="AU79" s="179">
        <f t="shared" si="148"/>
        <v>0.33741615996344482</v>
      </c>
      <c r="AW79" s="6">
        <f t="shared" si="121"/>
        <v>17.910955678950614</v>
      </c>
      <c r="AX79" s="6">
        <f t="shared" si="122"/>
        <v>13.568905817386829</v>
      </c>
      <c r="AY79" s="6">
        <f t="shared" si="123"/>
        <v>0.33923349884379683</v>
      </c>
      <c r="AZ79" s="6"/>
      <c r="BA79" s="179">
        <f t="shared" si="149"/>
        <v>0.32469032114671409</v>
      </c>
      <c r="BB79" s="179">
        <f t="shared" si="124"/>
        <v>1.364985625632297</v>
      </c>
      <c r="BC79" s="179">
        <f t="shared" si="125"/>
        <v>0.66315551645302429</v>
      </c>
      <c r="BD79" s="179"/>
      <c r="BE79" s="546">
        <f t="shared" si="126"/>
        <v>3.689833162622471E-2</v>
      </c>
      <c r="BF79" s="546">
        <f t="shared" si="127"/>
        <v>8.077742869524869E-2</v>
      </c>
      <c r="BG79" s="546">
        <f t="shared" si="128"/>
        <v>3.4851289184193064E-3</v>
      </c>
      <c r="BH79" s="546">
        <f t="shared" si="129"/>
        <v>2.2193440357650879E-2</v>
      </c>
      <c r="BI79">
        <f t="shared" si="130"/>
        <v>6.96E-3</v>
      </c>
      <c r="BJ79">
        <f t="shared" si="131"/>
        <v>0.15730681476693717</v>
      </c>
      <c r="BK79" s="472">
        <f t="shared" si="150"/>
        <v>157.30681476693718</v>
      </c>
      <c r="BL79" s="179">
        <f t="shared" si="132"/>
        <v>0.28711999999999999</v>
      </c>
      <c r="BM79" s="179">
        <f t="shared" si="133"/>
        <v>0.14355999999999999</v>
      </c>
      <c r="BN79" s="546"/>
      <c r="BP79" s="472">
        <f t="shared" si="151"/>
        <v>430.67999999999995</v>
      </c>
      <c r="BQ79" s="546">
        <f t="shared" si="134"/>
        <v>2.1084760929271265E-2</v>
      </c>
      <c r="BR79" s="546">
        <f t="shared" si="135"/>
        <v>7.4527430327311725E-2</v>
      </c>
      <c r="BS79" s="546">
        <f t="shared" si="136"/>
        <v>4.3977523900207739E-2</v>
      </c>
      <c r="BT79" s="546">
        <f t="shared" si="137"/>
        <v>5.98562725187608E-2</v>
      </c>
      <c r="BU79" s="546">
        <f t="shared" si="138"/>
        <v>0.21863832643107614</v>
      </c>
      <c r="BV79" s="655">
        <f t="shared" si="139"/>
        <v>2.613382004958691E-2</v>
      </c>
      <c r="BW79" s="472">
        <f t="shared" si="152"/>
        <v>244.77214648066305</v>
      </c>
      <c r="BX79" s="179">
        <f t="shared" si="153"/>
        <v>0.83275896124760018</v>
      </c>
      <c r="BY79" s="6">
        <f t="shared" si="154"/>
        <v>4.9210000000000003</v>
      </c>
      <c r="BZ79" s="179">
        <f t="shared" si="155"/>
        <v>0.85526697123456996</v>
      </c>
      <c r="CA79" s="6">
        <f t="shared" si="156"/>
        <v>85.526697123456998</v>
      </c>
      <c r="CB79">
        <f t="shared" si="157"/>
        <v>74</v>
      </c>
      <c r="CD79" s="581">
        <f t="shared" si="140"/>
        <v>-50</v>
      </c>
      <c r="CE79">
        <f t="shared" si="141"/>
        <v>-50</v>
      </c>
    </row>
    <row r="80" spans="5:83" x14ac:dyDescent="0.2">
      <c r="E80" s="176">
        <v>75</v>
      </c>
      <c r="F80" s="223">
        <f t="shared" si="158"/>
        <v>0.75</v>
      </c>
      <c r="G80" s="223">
        <f t="shared" si="142"/>
        <v>0.375</v>
      </c>
      <c r="H80" s="223">
        <f t="shared" si="95"/>
        <v>3.75</v>
      </c>
      <c r="I80" s="223">
        <f t="shared" si="159"/>
        <v>1.2374999999999998</v>
      </c>
      <c r="J80" s="559">
        <f t="shared" si="96"/>
        <v>24</v>
      </c>
      <c r="K80" s="454">
        <f t="shared" si="97"/>
        <v>15.899999999999999</v>
      </c>
      <c r="L80" s="454">
        <f t="shared" si="98"/>
        <v>39.9</v>
      </c>
      <c r="M80" s="454"/>
      <c r="N80" s="223">
        <f t="shared" si="99"/>
        <v>0.39849624060150374</v>
      </c>
      <c r="O80" s="178">
        <f t="shared" si="143"/>
        <v>4.8538639832664359</v>
      </c>
      <c r="P80" s="178">
        <f t="shared" si="100"/>
        <v>2.1303609022556387</v>
      </c>
      <c r="Q80" s="223">
        <f t="shared" si="101"/>
        <v>0.9707727966532872</v>
      </c>
      <c r="R80" s="223">
        <f t="shared" si="102"/>
        <v>1.4708678737171019</v>
      </c>
      <c r="S80" s="454">
        <f t="shared" si="103"/>
        <v>5</v>
      </c>
      <c r="T80" s="223">
        <f t="shared" si="104"/>
        <v>1.1588705450733752</v>
      </c>
      <c r="U80" s="223">
        <f t="shared" si="105"/>
        <v>1.448588181341719</v>
      </c>
      <c r="V80" s="223">
        <f t="shared" si="106"/>
        <v>2.1865481982516517</v>
      </c>
      <c r="W80" s="203">
        <f t="shared" si="107"/>
        <v>350</v>
      </c>
      <c r="X80" s="454">
        <f t="shared" si="144"/>
        <v>275.0928426272306</v>
      </c>
      <c r="Z80" s="223">
        <f t="shared" si="108"/>
        <v>0.91084854994629427</v>
      </c>
      <c r="AA80" s="179">
        <f t="shared" si="109"/>
        <v>1.7185821697099894</v>
      </c>
      <c r="AB80" s="179">
        <f t="shared" si="110"/>
        <v>0.82181824055304764</v>
      </c>
      <c r="AC80" s="179"/>
      <c r="AD80" s="179">
        <f t="shared" si="111"/>
        <v>0.5660377358490567</v>
      </c>
      <c r="AE80" s="563">
        <f t="shared" si="112"/>
        <v>2944.4444444444439</v>
      </c>
      <c r="AF80" s="546">
        <f t="shared" si="113"/>
        <v>8.9150943396226423E-2</v>
      </c>
      <c r="AH80" s="179">
        <f t="shared" si="114"/>
        <v>0.97467943448089633</v>
      </c>
      <c r="AI80" s="179">
        <f t="shared" si="115"/>
        <v>0.97467943448089633</v>
      </c>
      <c r="AJ80" s="179">
        <f t="shared" si="116"/>
        <v>1.6997625440599231</v>
      </c>
      <c r="AL80" s="563">
        <f t="shared" si="117"/>
        <v>750</v>
      </c>
      <c r="AM80" s="472">
        <f t="shared" si="118"/>
        <v>275.0928426272306</v>
      </c>
      <c r="AO80">
        <f t="shared" si="145"/>
        <v>750</v>
      </c>
      <c r="AP80">
        <f t="shared" si="119"/>
        <v>275.0928426272306</v>
      </c>
      <c r="AR80" s="6">
        <f t="shared" si="146"/>
        <v>3.6351363795933711</v>
      </c>
      <c r="AS80" s="6">
        <f t="shared" si="120"/>
        <v>1.2183492931011206</v>
      </c>
      <c r="AT80" s="6">
        <f t="shared" si="147"/>
        <v>2.4167870864922505</v>
      </c>
      <c r="AU80" s="179">
        <f t="shared" si="148"/>
        <v>0.33515917035206422</v>
      </c>
      <c r="AW80" s="6">
        <f t="shared" si="121"/>
        <v>18.275239396516806</v>
      </c>
      <c r="AX80" s="6">
        <f t="shared" si="122"/>
        <v>13.844878330694552</v>
      </c>
      <c r="AY80" s="6">
        <f t="shared" si="123"/>
        <v>0.34965090950408712</v>
      </c>
      <c r="AZ80" s="6"/>
      <c r="BA80" s="179">
        <f t="shared" si="149"/>
        <v>0.32578173257282811</v>
      </c>
      <c r="BB80" s="179">
        <f t="shared" si="124"/>
        <v>1.3765160240609684</v>
      </c>
      <c r="BC80" s="179">
        <f t="shared" si="125"/>
        <v>0.66875736835628696</v>
      </c>
      <c r="BD80" s="179"/>
      <c r="BE80" s="546">
        <f t="shared" si="126"/>
        <v>3.7146808047353791E-2</v>
      </c>
      <c r="BF80" s="546">
        <f t="shared" si="127"/>
        <v>8.0237105382284166E-2</v>
      </c>
      <c r="BG80" s="546">
        <f t="shared" si="128"/>
        <v>3.4386605328403821E-3</v>
      </c>
      <c r="BH80" s="546">
        <f t="shared" si="129"/>
        <v>2.189752781954887E-2</v>
      </c>
      <c r="BI80">
        <f t="shared" si="130"/>
        <v>6.96E-3</v>
      </c>
      <c r="BJ80">
        <f t="shared" si="131"/>
        <v>0.15671201909105945</v>
      </c>
      <c r="BK80" s="472">
        <f t="shared" si="150"/>
        <v>156.71201909105943</v>
      </c>
      <c r="BL80" s="179">
        <f t="shared" si="132"/>
        <v>0.29100000000000004</v>
      </c>
      <c r="BM80" s="179">
        <f t="shared" si="133"/>
        <v>0.14550000000000002</v>
      </c>
      <c r="BN80" s="546"/>
      <c r="BP80" s="472">
        <f t="shared" si="151"/>
        <v>436.50000000000006</v>
      </c>
      <c r="BQ80" s="546">
        <f t="shared" si="134"/>
        <v>2.1226747455630739E-2</v>
      </c>
      <c r="BR80" s="546">
        <f t="shared" si="135"/>
        <v>7.5791854579864662E-2</v>
      </c>
      <c r="BS80" s="546">
        <f t="shared" si="136"/>
        <v>4.4723641773082655E-2</v>
      </c>
      <c r="BT80" s="546">
        <f t="shared" si="137"/>
        <v>5.8860336225834371E-2</v>
      </c>
      <c r="BU80" s="546">
        <f t="shared" si="138"/>
        <v>0.22010753213010498</v>
      </c>
      <c r="BV80" s="655">
        <f t="shared" si="139"/>
        <v>2.6133820049586903E-2</v>
      </c>
      <c r="BW80" s="472">
        <f t="shared" si="152"/>
        <v>246.24135217969186</v>
      </c>
      <c r="BX80" s="179">
        <f t="shared" si="153"/>
        <v>0.83945337127075126</v>
      </c>
      <c r="BY80" s="6">
        <f t="shared" si="154"/>
        <v>4.9874999999999998</v>
      </c>
      <c r="BZ80" s="179">
        <f t="shared" si="155"/>
        <v>0.855936144021746</v>
      </c>
      <c r="CA80" s="6">
        <f t="shared" si="156"/>
        <v>85.593614402174595</v>
      </c>
      <c r="CB80">
        <f t="shared" si="157"/>
        <v>75</v>
      </c>
      <c r="CD80" s="581">
        <f t="shared" si="140"/>
        <v>-50</v>
      </c>
      <c r="CE80">
        <f t="shared" si="141"/>
        <v>-50</v>
      </c>
    </row>
    <row r="81" spans="5:83" x14ac:dyDescent="0.2">
      <c r="E81" s="176">
        <v>76</v>
      </c>
      <c r="F81" s="223">
        <f t="shared" si="158"/>
        <v>0.76</v>
      </c>
      <c r="G81" s="223">
        <f t="shared" si="142"/>
        <v>0.38</v>
      </c>
      <c r="H81" s="223">
        <f t="shared" si="95"/>
        <v>3.8</v>
      </c>
      <c r="I81" s="223">
        <f t="shared" si="159"/>
        <v>1.254</v>
      </c>
      <c r="J81" s="559">
        <f t="shared" si="96"/>
        <v>24</v>
      </c>
      <c r="K81" s="454">
        <f t="shared" si="97"/>
        <v>15.899999999999999</v>
      </c>
      <c r="L81" s="454">
        <f t="shared" si="98"/>
        <v>39.9</v>
      </c>
      <c r="M81" s="454"/>
      <c r="N81" s="223">
        <f t="shared" si="99"/>
        <v>0.39849624060150374</v>
      </c>
      <c r="O81" s="178">
        <f t="shared" si="143"/>
        <v>4.8538639832664359</v>
      </c>
      <c r="P81" s="178">
        <f t="shared" si="100"/>
        <v>2.1303609022556387</v>
      </c>
      <c r="Q81" s="223">
        <f t="shared" si="101"/>
        <v>0.9707727966532872</v>
      </c>
      <c r="R81" s="223">
        <f t="shared" si="102"/>
        <v>1.4708678737171019</v>
      </c>
      <c r="S81" s="454">
        <f t="shared" si="103"/>
        <v>5</v>
      </c>
      <c r="T81" s="223">
        <f t="shared" si="104"/>
        <v>1.1743221523410203</v>
      </c>
      <c r="U81" s="223">
        <f t="shared" si="105"/>
        <v>1.4679026904262755</v>
      </c>
      <c r="V81" s="223">
        <f t="shared" si="106"/>
        <v>2.2157021742283405</v>
      </c>
      <c r="W81" s="203">
        <f t="shared" si="107"/>
        <v>350</v>
      </c>
      <c r="X81" s="454">
        <f t="shared" si="144"/>
        <v>271.4731999610828</v>
      </c>
      <c r="Z81" s="223">
        <f t="shared" si="108"/>
        <v>0.91084854994629427</v>
      </c>
      <c r="AA81" s="179">
        <f t="shared" si="109"/>
        <v>1.7185821697099894</v>
      </c>
      <c r="AB81" s="179">
        <f t="shared" si="110"/>
        <v>0.82181824055304764</v>
      </c>
      <c r="AC81" s="179"/>
      <c r="AD81" s="179">
        <f t="shared" si="111"/>
        <v>0.5660377358490567</v>
      </c>
      <c r="AE81" s="563">
        <f t="shared" si="112"/>
        <v>2983.7037037037035</v>
      </c>
      <c r="AF81" s="546">
        <f t="shared" si="113"/>
        <v>8.9150943396226423E-2</v>
      </c>
      <c r="AH81" s="179">
        <f t="shared" si="114"/>
        <v>0.9811557810392123</v>
      </c>
      <c r="AI81" s="179">
        <f t="shared" si="115"/>
        <v>0.9811557810392123</v>
      </c>
      <c r="AJ81" s="179">
        <f t="shared" si="116"/>
        <v>1.7045598378068241</v>
      </c>
      <c r="AL81" s="563">
        <f t="shared" si="117"/>
        <v>760</v>
      </c>
      <c r="AM81" s="472">
        <f t="shared" si="118"/>
        <v>271.4731999610828</v>
      </c>
      <c r="AO81">
        <f t="shared" si="145"/>
        <v>760</v>
      </c>
      <c r="AP81">
        <f t="shared" si="119"/>
        <v>271.4731999610828</v>
      </c>
      <c r="AR81" s="6">
        <f t="shared" si="146"/>
        <v>3.6836048646546162</v>
      </c>
      <c r="AS81" s="6">
        <f t="shared" si="120"/>
        <v>1.2264447262990155</v>
      </c>
      <c r="AT81" s="6">
        <f t="shared" si="147"/>
        <v>2.4571601383556008</v>
      </c>
      <c r="AU81" s="179">
        <f t="shared" si="148"/>
        <v>0.33294687442378812</v>
      </c>
      <c r="AW81" s="6">
        <f t="shared" si="121"/>
        <v>18.641959839745034</v>
      </c>
      <c r="AX81" s="6">
        <f t="shared" si="122"/>
        <v>14.122696848291692</v>
      </c>
      <c r="AY81" s="6">
        <f t="shared" si="123"/>
        <v>0.36023181040707103</v>
      </c>
      <c r="AZ81" s="6"/>
      <c r="BA81" s="179">
        <f t="shared" si="149"/>
        <v>0.32686228383354021</v>
      </c>
      <c r="BB81" s="179">
        <f t="shared" si="124"/>
        <v>1.3879659313773158</v>
      </c>
      <c r="BC81" s="179">
        <f t="shared" si="125"/>
        <v>0.6743201149941459</v>
      </c>
      <c r="BD81" s="179"/>
      <c r="BE81" s="546">
        <f t="shared" si="126"/>
        <v>3.7393633407507232E-2</v>
      </c>
      <c r="BF81" s="546">
        <f t="shared" si="127"/>
        <v>7.9707481737054858E-2</v>
      </c>
      <c r="BG81" s="546">
        <f t="shared" si="128"/>
        <v>3.3934149995135349E-3</v>
      </c>
      <c r="BH81" s="546">
        <f t="shared" si="129"/>
        <v>2.160940245350217E-2</v>
      </c>
      <c r="BI81">
        <f t="shared" si="130"/>
        <v>6.96E-3</v>
      </c>
      <c r="BJ81">
        <f t="shared" si="131"/>
        <v>0.1561350990316297</v>
      </c>
      <c r="BK81" s="472">
        <f t="shared" si="150"/>
        <v>156.13509903162969</v>
      </c>
      <c r="BL81" s="179">
        <f t="shared" si="132"/>
        <v>0.29488000000000003</v>
      </c>
      <c r="BM81" s="179">
        <f t="shared" si="133"/>
        <v>0.14744000000000002</v>
      </c>
      <c r="BN81" s="546"/>
      <c r="BP81" s="472">
        <f t="shared" si="151"/>
        <v>442.32000000000005</v>
      </c>
      <c r="BQ81" s="546">
        <f t="shared" si="134"/>
        <v>2.1367790518575562E-2</v>
      </c>
      <c r="BR81" s="546">
        <f t="shared" si="135"/>
        <v>7.7057977066564004E-2</v>
      </c>
      <c r="BS81" s="546">
        <f t="shared" si="136"/>
        <v>4.5470761748571814E-2</v>
      </c>
      <c r="BT81" s="546">
        <f t="shared" si="137"/>
        <v>5.7893836124476628E-2</v>
      </c>
      <c r="BU81" s="546">
        <f t="shared" si="138"/>
        <v>0.22160905084103039</v>
      </c>
      <c r="BV81" s="655">
        <f t="shared" si="139"/>
        <v>2.613382004958691E-2</v>
      </c>
      <c r="BW81" s="472">
        <f t="shared" si="152"/>
        <v>247.7428708906173</v>
      </c>
      <c r="BX81" s="179">
        <f t="shared" si="153"/>
        <v>0.84619796992224705</v>
      </c>
      <c r="BY81" s="6">
        <f t="shared" si="154"/>
        <v>5.0540000000000003</v>
      </c>
      <c r="BZ81" s="179">
        <f t="shared" si="155"/>
        <v>0.8565814275663366</v>
      </c>
      <c r="CA81" s="6">
        <f t="shared" si="156"/>
        <v>85.658142756633666</v>
      </c>
      <c r="CB81">
        <f t="shared" si="157"/>
        <v>76</v>
      </c>
      <c r="CD81" s="581">
        <f t="shared" si="140"/>
        <v>-50</v>
      </c>
      <c r="CE81">
        <f t="shared" si="141"/>
        <v>-50</v>
      </c>
    </row>
    <row r="82" spans="5:83" x14ac:dyDescent="0.2">
      <c r="E82" s="176">
        <v>77</v>
      </c>
      <c r="F82" s="223">
        <f t="shared" si="158"/>
        <v>0.77</v>
      </c>
      <c r="G82" s="223">
        <f t="shared" si="142"/>
        <v>0.38500000000000001</v>
      </c>
      <c r="H82" s="223">
        <f t="shared" si="95"/>
        <v>3.85</v>
      </c>
      <c r="I82" s="223">
        <f t="shared" si="159"/>
        <v>1.2705</v>
      </c>
      <c r="J82" s="559">
        <f t="shared" si="96"/>
        <v>24</v>
      </c>
      <c r="K82" s="454">
        <f t="shared" si="97"/>
        <v>15.899999999999999</v>
      </c>
      <c r="L82" s="454">
        <f t="shared" si="98"/>
        <v>39.9</v>
      </c>
      <c r="M82" s="454"/>
      <c r="N82" s="223">
        <f t="shared" si="99"/>
        <v>0.39849624060150374</v>
      </c>
      <c r="O82" s="178">
        <f t="shared" si="143"/>
        <v>4.8538639832664359</v>
      </c>
      <c r="P82" s="178">
        <f t="shared" si="100"/>
        <v>2.1303609022556387</v>
      </c>
      <c r="Q82" s="223">
        <f t="shared" si="101"/>
        <v>0.9707727966532872</v>
      </c>
      <c r="R82" s="223">
        <f t="shared" si="102"/>
        <v>1.4708678737171019</v>
      </c>
      <c r="S82" s="454">
        <f t="shared" si="103"/>
        <v>5</v>
      </c>
      <c r="T82" s="223">
        <f t="shared" si="104"/>
        <v>1.1897737596086653</v>
      </c>
      <c r="U82" s="223">
        <f t="shared" si="105"/>
        <v>1.4872171995108316</v>
      </c>
      <c r="V82" s="223">
        <f t="shared" si="106"/>
        <v>2.2448561502050293</v>
      </c>
      <c r="W82" s="203">
        <f t="shared" si="107"/>
        <v>350</v>
      </c>
      <c r="X82" s="454">
        <f t="shared" si="144"/>
        <v>267.94757398756224</v>
      </c>
      <c r="Z82" s="223">
        <f t="shared" si="108"/>
        <v>0.91084854994629427</v>
      </c>
      <c r="AA82" s="179">
        <f t="shared" si="109"/>
        <v>1.7185821697099894</v>
      </c>
      <c r="AB82" s="179">
        <f t="shared" si="110"/>
        <v>0.82181824055304764</v>
      </c>
      <c r="AC82" s="179"/>
      <c r="AD82" s="179">
        <f t="shared" si="111"/>
        <v>0.5660377358490567</v>
      </c>
      <c r="AE82" s="563">
        <f t="shared" si="112"/>
        <v>3022.9629629629626</v>
      </c>
      <c r="AF82" s="546">
        <f t="shared" si="113"/>
        <v>8.9150943396226423E-2</v>
      </c>
      <c r="AH82" s="179">
        <f t="shared" si="114"/>
        <v>0.98758965837706769</v>
      </c>
      <c r="AI82" s="179">
        <f t="shared" si="115"/>
        <v>0.98758965837706769</v>
      </c>
      <c r="AJ82" s="179">
        <f t="shared" si="116"/>
        <v>1.709325672871902</v>
      </c>
      <c r="AL82" s="563">
        <f t="shared" si="117"/>
        <v>770</v>
      </c>
      <c r="AM82" s="472">
        <f t="shared" si="118"/>
        <v>267.94757398756224</v>
      </c>
      <c r="AO82">
        <f t="shared" si="145"/>
        <v>770</v>
      </c>
      <c r="AP82">
        <f t="shared" si="119"/>
        <v>267.94757398756224</v>
      </c>
      <c r="AR82" s="6">
        <f t="shared" si="146"/>
        <v>3.7320733497158614</v>
      </c>
      <c r="AS82" s="6">
        <f t="shared" si="120"/>
        <v>1.2344870729713346</v>
      </c>
      <c r="AT82" s="6">
        <f t="shared" si="147"/>
        <v>2.4975862767445269</v>
      </c>
      <c r="AU82" s="179">
        <f t="shared" si="148"/>
        <v>0.33077781632167585</v>
      </c>
      <c r="AW82" s="6">
        <f t="shared" si="121"/>
        <v>19.011100923758555</v>
      </c>
      <c r="AX82" s="6">
        <f t="shared" si="122"/>
        <v>14.402349184665571</v>
      </c>
      <c r="AY82" s="6">
        <f t="shared" si="123"/>
        <v>0.37097635669237755</v>
      </c>
      <c r="AZ82" s="6"/>
      <c r="BA82" s="179">
        <f t="shared" si="149"/>
        <v>0.32793222378297476</v>
      </c>
      <c r="BB82" s="179">
        <f t="shared" si="124"/>
        <v>1.3993370249667432</v>
      </c>
      <c r="BC82" s="179">
        <f t="shared" si="125"/>
        <v>0.67984457129634279</v>
      </c>
      <c r="BD82" s="179"/>
      <c r="BE82" s="546">
        <f t="shared" si="126"/>
        <v>3.7638840188336464E-2</v>
      </c>
      <c r="BF82" s="546">
        <f t="shared" si="127"/>
        <v>7.9188209227409184E-2</v>
      </c>
      <c r="BG82" s="546">
        <f t="shared" si="128"/>
        <v>3.3493446748445277E-3</v>
      </c>
      <c r="BH82" s="546">
        <f t="shared" si="129"/>
        <v>2.1328760863196947E-2</v>
      </c>
      <c r="BI82">
        <f t="shared" si="130"/>
        <v>6.96E-3</v>
      </c>
      <c r="BJ82">
        <f t="shared" si="131"/>
        <v>0.15557539055055458</v>
      </c>
      <c r="BK82" s="472">
        <f t="shared" si="150"/>
        <v>155.57539055055457</v>
      </c>
      <c r="BL82" s="179">
        <f t="shared" si="132"/>
        <v>0.29876000000000003</v>
      </c>
      <c r="BM82" s="179">
        <f t="shared" si="133"/>
        <v>0.14938000000000001</v>
      </c>
      <c r="BN82" s="546"/>
      <c r="BP82" s="472">
        <f t="shared" si="151"/>
        <v>448.14000000000004</v>
      </c>
      <c r="BQ82" s="546">
        <f t="shared" si="134"/>
        <v>2.150790867904941E-2</v>
      </c>
      <c r="BR82" s="546">
        <f t="shared" si="135"/>
        <v>7.8325764377711021E-2</v>
      </c>
      <c r="BS82" s="546">
        <f t="shared" si="136"/>
        <v>4.6218864112110819E-2</v>
      </c>
      <c r="BT82" s="546">
        <f t="shared" si="137"/>
        <v>5.6955531810567464E-2</v>
      </c>
      <c r="BU82" s="546">
        <f t="shared" si="138"/>
        <v>0.22314160524724688</v>
      </c>
      <c r="BV82" s="655">
        <f t="shared" si="139"/>
        <v>2.6133820049586903E-2</v>
      </c>
      <c r="BW82" s="472">
        <f t="shared" si="152"/>
        <v>249.27542529683379</v>
      </c>
      <c r="BX82" s="179">
        <f t="shared" si="153"/>
        <v>0.85299081584738834</v>
      </c>
      <c r="BY82" s="6">
        <f t="shared" si="154"/>
        <v>5.1204999999999998</v>
      </c>
      <c r="BZ82" s="179">
        <f t="shared" si="155"/>
        <v>0.85720396295170598</v>
      </c>
      <c r="CA82" s="6">
        <f t="shared" si="156"/>
        <v>85.720396295170602</v>
      </c>
      <c r="CB82">
        <f t="shared" si="157"/>
        <v>77</v>
      </c>
      <c r="CD82" s="581">
        <f t="shared" si="140"/>
        <v>-50</v>
      </c>
      <c r="CE82">
        <f t="shared" si="141"/>
        <v>-50</v>
      </c>
    </row>
    <row r="83" spans="5:83" x14ac:dyDescent="0.2">
      <c r="E83" s="176">
        <v>78</v>
      </c>
      <c r="F83" s="223">
        <f t="shared" si="158"/>
        <v>0.78</v>
      </c>
      <c r="G83" s="223">
        <f t="shared" si="142"/>
        <v>0.39</v>
      </c>
      <c r="H83" s="223">
        <f t="shared" si="95"/>
        <v>3.9000000000000004</v>
      </c>
      <c r="I83" s="223">
        <f t="shared" si="159"/>
        <v>1.2869999999999999</v>
      </c>
      <c r="J83" s="559">
        <f t="shared" si="96"/>
        <v>24</v>
      </c>
      <c r="K83" s="454">
        <f t="shared" si="97"/>
        <v>15.899999999999999</v>
      </c>
      <c r="L83" s="454">
        <f t="shared" si="98"/>
        <v>39.9</v>
      </c>
      <c r="M83" s="454"/>
      <c r="N83" s="223">
        <f t="shared" si="99"/>
        <v>0.39849624060150374</v>
      </c>
      <c r="O83" s="178">
        <f t="shared" si="143"/>
        <v>4.8538639832664359</v>
      </c>
      <c r="P83" s="178">
        <f t="shared" si="100"/>
        <v>2.1303609022556387</v>
      </c>
      <c r="Q83" s="223">
        <f t="shared" si="101"/>
        <v>0.9707727966532872</v>
      </c>
      <c r="R83" s="223">
        <f t="shared" si="102"/>
        <v>1.4708678737171019</v>
      </c>
      <c r="S83" s="454">
        <f t="shared" si="103"/>
        <v>5</v>
      </c>
      <c r="T83" s="223">
        <f t="shared" si="104"/>
        <v>1.2052253668763102</v>
      </c>
      <c r="U83" s="223">
        <f t="shared" si="105"/>
        <v>1.5065317085953878</v>
      </c>
      <c r="V83" s="223">
        <f t="shared" si="106"/>
        <v>2.2740101261817176</v>
      </c>
      <c r="W83" s="203">
        <f t="shared" si="107"/>
        <v>350</v>
      </c>
      <c r="X83" s="454">
        <f t="shared" si="144"/>
        <v>264.51234868002945</v>
      </c>
      <c r="Z83" s="223">
        <f t="shared" si="108"/>
        <v>0.91084854994629427</v>
      </c>
      <c r="AA83" s="179">
        <f t="shared" si="109"/>
        <v>1.7185821697099894</v>
      </c>
      <c r="AB83" s="179">
        <f t="shared" si="110"/>
        <v>0.82181824055304764</v>
      </c>
      <c r="AC83" s="179"/>
      <c r="AD83" s="179">
        <f t="shared" si="111"/>
        <v>0.5660377358490567</v>
      </c>
      <c r="AE83" s="563">
        <f t="shared" si="112"/>
        <v>3062.2222222222217</v>
      </c>
      <c r="AF83" s="546">
        <f t="shared" si="113"/>
        <v>8.9150943396226423E-2</v>
      </c>
      <c r="AH83" s="179">
        <f t="shared" si="114"/>
        <v>0.99398189118313418</v>
      </c>
      <c r="AI83" s="179">
        <f t="shared" si="115"/>
        <v>0.99398189118313418</v>
      </c>
      <c r="AJ83" s="179">
        <f t="shared" si="116"/>
        <v>1.7140606601356549</v>
      </c>
      <c r="AL83" s="563">
        <f t="shared" si="117"/>
        <v>780</v>
      </c>
      <c r="AM83" s="472">
        <f t="shared" si="118"/>
        <v>264.51234868002945</v>
      </c>
      <c r="AO83">
        <f t="shared" si="145"/>
        <v>780</v>
      </c>
      <c r="AP83">
        <f t="shared" si="119"/>
        <v>264.51234868002945</v>
      </c>
      <c r="AR83" s="6">
        <f t="shared" si="146"/>
        <v>3.7805418347771056</v>
      </c>
      <c r="AS83" s="6">
        <f t="shared" si="120"/>
        <v>1.2424773639789177</v>
      </c>
      <c r="AT83" s="6">
        <f t="shared" si="147"/>
        <v>2.5380644707981879</v>
      </c>
      <c r="AU83" s="179">
        <f t="shared" si="148"/>
        <v>0.32865060572783533</v>
      </c>
      <c r="AW83" s="6">
        <f t="shared" si="121"/>
        <v>19.382646878071117</v>
      </c>
      <c r="AX83" s="6">
        <f t="shared" si="122"/>
        <v>14.683823392478118</v>
      </c>
      <c r="AY83" s="6">
        <f t="shared" si="123"/>
        <v>0.38188470046731993</v>
      </c>
      <c r="AZ83" s="6"/>
      <c r="BA83" s="179">
        <f t="shared" si="149"/>
        <v>0.32899179243009558</v>
      </c>
      <c r="BB83" s="179">
        <f t="shared" si="124"/>
        <v>1.4106309243110673</v>
      </c>
      <c r="BC83" s="179">
        <f t="shared" si="125"/>
        <v>0.68533152406112685</v>
      </c>
      <c r="BD83" s="179"/>
      <c r="BE83" s="546">
        <f t="shared" si="126"/>
        <v>3.7882459820228476E-2</v>
      </c>
      <c r="BF83" s="546">
        <f t="shared" si="127"/>
        <v>7.8678955011243765E-2</v>
      </c>
      <c r="BG83" s="546">
        <f t="shared" si="128"/>
        <v>3.306404358500368E-3</v>
      </c>
      <c r="BH83" s="546">
        <f t="shared" si="129"/>
        <v>2.1055315211104684E-2</v>
      </c>
      <c r="BI83">
        <f t="shared" si="130"/>
        <v>6.96E-3</v>
      </c>
      <c r="BJ83">
        <f t="shared" si="131"/>
        <v>0.15503226216962745</v>
      </c>
      <c r="BK83" s="472">
        <f t="shared" si="150"/>
        <v>155.03226216962744</v>
      </c>
      <c r="BL83" s="179">
        <f t="shared" si="132"/>
        <v>0.30264000000000002</v>
      </c>
      <c r="BM83" s="179">
        <f t="shared" si="133"/>
        <v>0.15132000000000001</v>
      </c>
      <c r="BN83" s="546"/>
      <c r="BP83" s="472">
        <f t="shared" si="151"/>
        <v>453.96000000000004</v>
      </c>
      <c r="BQ83" s="546">
        <f t="shared" si="134"/>
        <v>2.1647119897273418E-2</v>
      </c>
      <c r="BR83" s="546">
        <f t="shared" si="135"/>
        <v>7.9595184184907838E-2</v>
      </c>
      <c r="BS83" s="546">
        <f t="shared" si="136"/>
        <v>4.696792978719469E-2</v>
      </c>
      <c r="BT83" s="546">
        <f t="shared" si="137"/>
        <v>5.6044250356728421E-2</v>
      </c>
      <c r="BU83" s="546">
        <f t="shared" si="138"/>
        <v>0.224703986724333</v>
      </c>
      <c r="BV83" s="655">
        <f t="shared" si="139"/>
        <v>2.6133820049586913E-2</v>
      </c>
      <c r="BW83" s="472">
        <f t="shared" si="152"/>
        <v>250.83780677391994</v>
      </c>
      <c r="BX83" s="179">
        <f t="shared" si="153"/>
        <v>0.85983006894354741</v>
      </c>
      <c r="BY83" s="6">
        <f t="shared" si="154"/>
        <v>5.1870000000000003</v>
      </c>
      <c r="BZ83" s="179">
        <f t="shared" si="155"/>
        <v>0.85780482349592968</v>
      </c>
      <c r="CA83" s="6">
        <f t="shared" si="156"/>
        <v>85.780482349592972</v>
      </c>
      <c r="CB83">
        <f t="shared" si="157"/>
        <v>78</v>
      </c>
      <c r="CD83" s="581">
        <f t="shared" si="140"/>
        <v>-50</v>
      </c>
      <c r="CE83">
        <f t="shared" si="141"/>
        <v>-50</v>
      </c>
    </row>
    <row r="84" spans="5:83" x14ac:dyDescent="0.2">
      <c r="E84" s="176">
        <v>79</v>
      </c>
      <c r="F84" s="223">
        <f t="shared" si="158"/>
        <v>0.79</v>
      </c>
      <c r="G84" s="223">
        <f t="shared" si="142"/>
        <v>0.39500000000000002</v>
      </c>
      <c r="H84" s="223">
        <f t="shared" si="95"/>
        <v>3.95</v>
      </c>
      <c r="I84" s="223">
        <f t="shared" si="159"/>
        <v>1.3034999999999999</v>
      </c>
      <c r="J84" s="559">
        <f t="shared" si="96"/>
        <v>24</v>
      </c>
      <c r="K84" s="454">
        <f t="shared" si="97"/>
        <v>15.899999999999999</v>
      </c>
      <c r="L84" s="454">
        <f t="shared" si="98"/>
        <v>39.9</v>
      </c>
      <c r="M84" s="454"/>
      <c r="N84" s="223">
        <f t="shared" si="99"/>
        <v>0.39849624060150374</v>
      </c>
      <c r="O84" s="178">
        <f t="shared" si="143"/>
        <v>4.8538639832664359</v>
      </c>
      <c r="P84" s="178">
        <f t="shared" si="100"/>
        <v>2.1303609022556387</v>
      </c>
      <c r="Q84" s="223">
        <f t="shared" si="101"/>
        <v>0.9707727966532872</v>
      </c>
      <c r="R84" s="223">
        <f t="shared" si="102"/>
        <v>1.4708678737171019</v>
      </c>
      <c r="S84" s="454">
        <f t="shared" si="103"/>
        <v>5</v>
      </c>
      <c r="T84" s="223">
        <f t="shared" si="104"/>
        <v>1.2206769741439552</v>
      </c>
      <c r="U84" s="223">
        <f t="shared" si="105"/>
        <v>1.5258462176799439</v>
      </c>
      <c r="V84" s="223">
        <f t="shared" si="106"/>
        <v>2.3031641021584059</v>
      </c>
      <c r="W84" s="203">
        <f t="shared" si="107"/>
        <v>350</v>
      </c>
      <c r="X84" s="454">
        <f t="shared" si="144"/>
        <v>261.16409110180126</v>
      </c>
      <c r="Z84" s="223">
        <f t="shared" si="108"/>
        <v>0.91084854994629427</v>
      </c>
      <c r="AA84" s="179">
        <f t="shared" si="109"/>
        <v>1.7185821697099894</v>
      </c>
      <c r="AB84" s="179">
        <f t="shared" si="110"/>
        <v>0.82181824055304764</v>
      </c>
      <c r="AC84" s="179"/>
      <c r="AD84" s="179">
        <f t="shared" si="111"/>
        <v>0.5660377358490567</v>
      </c>
      <c r="AE84" s="563">
        <f t="shared" si="112"/>
        <v>3101.4814814814808</v>
      </c>
      <c r="AF84" s="546">
        <f t="shared" si="113"/>
        <v>8.9150943396226423E-2</v>
      </c>
      <c r="AH84" s="179">
        <f t="shared" si="114"/>
        <v>1.0003332777962886</v>
      </c>
      <c r="AI84" s="179">
        <f t="shared" si="115"/>
        <v>1.0003332777962886</v>
      </c>
      <c r="AJ84" s="179">
        <f t="shared" si="116"/>
        <v>1.7187653909602136</v>
      </c>
      <c r="AL84" s="563">
        <f t="shared" si="117"/>
        <v>790</v>
      </c>
      <c r="AM84" s="472">
        <f t="shared" si="118"/>
        <v>261.16409110180126</v>
      </c>
      <c r="AO84">
        <f t="shared" si="145"/>
        <v>790</v>
      </c>
      <c r="AP84">
        <f t="shared" si="119"/>
        <v>261.16409110180126</v>
      </c>
      <c r="AR84" s="6">
        <f t="shared" si="146"/>
        <v>3.8290103198383498</v>
      </c>
      <c r="AS84" s="6">
        <f t="shared" si="120"/>
        <v>1.2504165972453607</v>
      </c>
      <c r="AT84" s="6">
        <f t="shared" si="147"/>
        <v>2.5785937225929891</v>
      </c>
      <c r="AU84" s="179">
        <f t="shared" si="148"/>
        <v>0.32656391411819174</v>
      </c>
      <c r="AW84" s="6">
        <f t="shared" si="121"/>
        <v>19.756582236476699</v>
      </c>
      <c r="AX84" s="6">
        <f t="shared" si="122"/>
        <v>14.967107754906591</v>
      </c>
      <c r="AY84" s="6">
        <f t="shared" si="123"/>
        <v>0.39295699090440994</v>
      </c>
      <c r="AZ84" s="6"/>
      <c r="BA84" s="179">
        <f t="shared" si="149"/>
        <v>0.33004122136195374</v>
      </c>
      <c r="BB84" s="179">
        <f t="shared" si="124"/>
        <v>1.4218491937674644</v>
      </c>
      <c r="BC84" s="179">
        <f t="shared" si="125"/>
        <v>0.69078173330535975</v>
      </c>
      <c r="BD84" s="179"/>
      <c r="BE84" s="546">
        <f t="shared" si="126"/>
        <v>3.8124522729331548E-2</v>
      </c>
      <c r="BF84" s="546">
        <f t="shared" si="127"/>
        <v>7.8179401039895097E-2</v>
      </c>
      <c r="BG84" s="546">
        <f t="shared" si="128"/>
        <v>3.2645511387725157E-3</v>
      </c>
      <c r="BH84" s="546">
        <f t="shared" si="129"/>
        <v>2.078879223374893E-2</v>
      </c>
      <c r="BI84">
        <f t="shared" si="130"/>
        <v>6.96E-3</v>
      </c>
      <c r="BJ84">
        <f t="shared" si="131"/>
        <v>0.15450511298440681</v>
      </c>
      <c r="BK84" s="472">
        <f t="shared" si="150"/>
        <v>154.50511298440679</v>
      </c>
      <c r="BL84" s="179">
        <f t="shared" si="132"/>
        <v>0.30652000000000007</v>
      </c>
      <c r="BM84" s="179">
        <f t="shared" si="133"/>
        <v>0.15326000000000004</v>
      </c>
      <c r="BN84" s="546"/>
      <c r="BP84" s="472">
        <f t="shared" si="151"/>
        <v>459.78000000000009</v>
      </c>
      <c r="BQ84" s="546">
        <f t="shared" si="134"/>
        <v>2.1785441559618032E-2</v>
      </c>
      <c r="BR84" s="546">
        <f t="shared" si="135"/>
        <v>8.0866205192687543E-2</v>
      </c>
      <c r="BS84" s="546">
        <f t="shared" si="136"/>
        <v>4.7717940306835717E-2</v>
      </c>
      <c r="BT84" s="546">
        <f t="shared" si="137"/>
        <v>5.5158881835287679E-2</v>
      </c>
      <c r="BU84" s="546">
        <f t="shared" si="138"/>
        <v>0.22629505080902035</v>
      </c>
      <c r="BV84" s="655">
        <f t="shared" si="139"/>
        <v>2.6133820049586913E-2</v>
      </c>
      <c r="BW84" s="472">
        <f t="shared" si="152"/>
        <v>252.42887085860727</v>
      </c>
      <c r="BX84" s="179">
        <f t="shared" si="153"/>
        <v>0.86671398384301412</v>
      </c>
      <c r="BY84" s="6">
        <f t="shared" si="154"/>
        <v>5.2534999999999998</v>
      </c>
      <c r="BZ84" s="179">
        <f t="shared" si="155"/>
        <v>0.85838501952201585</v>
      </c>
      <c r="CA84" s="6">
        <f t="shared" si="156"/>
        <v>85.838501952201582</v>
      </c>
      <c r="CB84">
        <f t="shared" si="157"/>
        <v>79</v>
      </c>
      <c r="CD84" s="581">
        <f t="shared" si="140"/>
        <v>-50</v>
      </c>
      <c r="CE84">
        <f t="shared" si="141"/>
        <v>-50</v>
      </c>
    </row>
    <row r="85" spans="5:83" x14ac:dyDescent="0.2">
      <c r="E85" s="176">
        <v>80</v>
      </c>
      <c r="F85" s="223">
        <f t="shared" si="158"/>
        <v>0.8</v>
      </c>
      <c r="G85" s="223">
        <f t="shared" si="142"/>
        <v>0.4</v>
      </c>
      <c r="H85" s="223">
        <f t="shared" si="95"/>
        <v>4</v>
      </c>
      <c r="I85" s="223">
        <f t="shared" si="159"/>
        <v>1.32</v>
      </c>
      <c r="J85" s="559">
        <f t="shared" si="96"/>
        <v>24</v>
      </c>
      <c r="K85" s="454">
        <f t="shared" si="97"/>
        <v>15.899999999999999</v>
      </c>
      <c r="L85" s="454">
        <f t="shared" si="98"/>
        <v>39.9</v>
      </c>
      <c r="M85" s="454"/>
      <c r="N85" s="223">
        <f t="shared" si="99"/>
        <v>0.39849624060150374</v>
      </c>
      <c r="O85" s="178">
        <f t="shared" si="143"/>
        <v>4.8538639832664359</v>
      </c>
      <c r="P85" s="178">
        <f t="shared" si="100"/>
        <v>2.1303609022556387</v>
      </c>
      <c r="Q85" s="223">
        <f t="shared" si="101"/>
        <v>0.9707727966532872</v>
      </c>
      <c r="R85" s="223">
        <f t="shared" si="102"/>
        <v>1.4708678737171019</v>
      </c>
      <c r="S85" s="454">
        <f t="shared" si="103"/>
        <v>5</v>
      </c>
      <c r="T85" s="223">
        <f t="shared" si="104"/>
        <v>1.2361285814116003</v>
      </c>
      <c r="U85" s="223">
        <f t="shared" si="105"/>
        <v>1.5451607267645004</v>
      </c>
      <c r="V85" s="223">
        <f t="shared" si="106"/>
        <v>2.3323180781350952</v>
      </c>
      <c r="W85" s="203">
        <f t="shared" si="107"/>
        <v>350</v>
      </c>
      <c r="X85" s="454">
        <f t="shared" si="144"/>
        <v>257.89953996302864</v>
      </c>
      <c r="Z85" s="223">
        <f t="shared" si="108"/>
        <v>0.91084854994629427</v>
      </c>
      <c r="AA85" s="179">
        <f t="shared" si="109"/>
        <v>1.7185821697099894</v>
      </c>
      <c r="AB85" s="179">
        <f t="shared" si="110"/>
        <v>0.82181824055304764</v>
      </c>
      <c r="AC85" s="179"/>
      <c r="AD85" s="179">
        <f t="shared" si="111"/>
        <v>0.5660377358490567</v>
      </c>
      <c r="AE85" s="563">
        <f t="shared" si="112"/>
        <v>3140.7407407407404</v>
      </c>
      <c r="AF85" s="546">
        <f t="shared" si="113"/>
        <v>8.9150943396226423E-2</v>
      </c>
      <c r="AH85" s="179">
        <f t="shared" si="114"/>
        <v>1.0066445913694333</v>
      </c>
      <c r="AI85" s="179">
        <f t="shared" si="115"/>
        <v>1.0066445913694333</v>
      </c>
      <c r="AJ85" s="179">
        <f t="shared" si="116"/>
        <v>1.7234404380514321</v>
      </c>
      <c r="AL85" s="563">
        <f t="shared" si="117"/>
        <v>800</v>
      </c>
      <c r="AM85" s="472">
        <f t="shared" si="118"/>
        <v>257.89953996302864</v>
      </c>
      <c r="AO85">
        <f t="shared" si="145"/>
        <v>800</v>
      </c>
      <c r="AP85">
        <f t="shared" si="119"/>
        <v>257.89953996302864</v>
      </c>
      <c r="AR85" s="6">
        <f t="shared" si="146"/>
        <v>3.8774788048995963</v>
      </c>
      <c r="AS85" s="6">
        <f t="shared" si="120"/>
        <v>1.2583057392117916</v>
      </c>
      <c r="AT85" s="6">
        <f t="shared" si="147"/>
        <v>2.6191730656878045</v>
      </c>
      <c r="AU85" s="179">
        <f t="shared" si="148"/>
        <v>0.32451647127555977</v>
      </c>
      <c r="AW85" s="6">
        <f t="shared" si="121"/>
        <v>20.132891827388665</v>
      </c>
      <c r="AX85" s="6">
        <f t="shared" si="122"/>
        <v>15.252190778324747</v>
      </c>
      <c r="AY85" s="6">
        <f t="shared" si="123"/>
        <v>0.40419337433453773</v>
      </c>
      <c r="AZ85" s="6"/>
      <c r="BA85" s="179">
        <f t="shared" si="149"/>
        <v>0.33108073414160577</v>
      </c>
      <c r="BB85" s="179">
        <f t="shared" si="124"/>
        <v>1.432993345177255</v>
      </c>
      <c r="BC85" s="179">
        <f t="shared" si="125"/>
        <v>0.69619593353194964</v>
      </c>
      <c r="BD85" s="179"/>
      <c r="BE85" s="546">
        <f t="shared" si="126"/>
        <v>3.8365058381910622E-2</v>
      </c>
      <c r="BF85" s="546">
        <f t="shared" si="127"/>
        <v>7.7689243223368995E-2</v>
      </c>
      <c r="BG85" s="546">
        <f t="shared" si="128"/>
        <v>3.223744249537858E-3</v>
      </c>
      <c r="BH85" s="546">
        <f t="shared" si="129"/>
        <v>2.052893233082706E-2</v>
      </c>
      <c r="BI85">
        <f t="shared" si="130"/>
        <v>6.96E-3</v>
      </c>
      <c r="BJ85">
        <f t="shared" si="131"/>
        <v>0.15399337082259801</v>
      </c>
      <c r="BK85" s="472">
        <f t="shared" si="150"/>
        <v>153.993370822598</v>
      </c>
      <c r="BL85" s="179">
        <f t="shared" si="132"/>
        <v>0.31040000000000006</v>
      </c>
      <c r="BM85" s="179">
        <f t="shared" si="133"/>
        <v>0.15520000000000003</v>
      </c>
      <c r="BN85" s="546"/>
      <c r="BP85" s="472">
        <f t="shared" si="151"/>
        <v>465.60000000000014</v>
      </c>
      <c r="BQ85" s="546">
        <f t="shared" si="134"/>
        <v>2.1922890503948928E-2</v>
      </c>
      <c r="BR85" s="546">
        <f t="shared" si="135"/>
        <v>8.2138797092891985E-2</v>
      </c>
      <c r="BS85" s="546">
        <f t="shared" si="136"/>
        <v>4.8468877786642287E-2</v>
      </c>
      <c r="BT85" s="546">
        <f t="shared" si="137"/>
        <v>5.4298375190462121E-2</v>
      </c>
      <c r="BU85" s="546">
        <f t="shared" si="138"/>
        <v>0.22791371302041558</v>
      </c>
      <c r="BV85" s="655">
        <f t="shared" si="139"/>
        <v>2.6133820049586906E-2</v>
      </c>
      <c r="BW85" s="472">
        <f t="shared" si="152"/>
        <v>254.04753307000249</v>
      </c>
      <c r="BX85" s="179">
        <f t="shared" si="153"/>
        <v>0.87364090389260052</v>
      </c>
      <c r="BY85" s="6">
        <f t="shared" si="154"/>
        <v>5.32</v>
      </c>
      <c r="BZ85" s="179">
        <f t="shared" si="155"/>
        <v>0.85894550274241244</v>
      </c>
      <c r="CA85" s="6">
        <f t="shared" si="156"/>
        <v>85.89455027424124</v>
      </c>
      <c r="CB85">
        <f t="shared" si="157"/>
        <v>80</v>
      </c>
      <c r="CD85" s="581">
        <f t="shared" si="140"/>
        <v>-50</v>
      </c>
      <c r="CE85">
        <f t="shared" si="141"/>
        <v>-50</v>
      </c>
    </row>
    <row r="86" spans="5:83" x14ac:dyDescent="0.2">
      <c r="E86" s="176">
        <v>81</v>
      </c>
      <c r="F86" s="223">
        <f t="shared" si="158"/>
        <v>0.81</v>
      </c>
      <c r="G86" s="223">
        <f t="shared" si="142"/>
        <v>0.40500000000000003</v>
      </c>
      <c r="H86" s="223">
        <f t="shared" si="95"/>
        <v>4.0500000000000007</v>
      </c>
      <c r="I86" s="223">
        <f t="shared" si="159"/>
        <v>1.3365</v>
      </c>
      <c r="J86" s="559">
        <f t="shared" si="96"/>
        <v>24</v>
      </c>
      <c r="K86" s="454">
        <f t="shared" si="97"/>
        <v>15.899999999999999</v>
      </c>
      <c r="L86" s="454">
        <f t="shared" si="98"/>
        <v>39.9</v>
      </c>
      <c r="M86" s="454"/>
      <c r="N86" s="223">
        <f t="shared" si="99"/>
        <v>0.39849624060150374</v>
      </c>
      <c r="O86" s="178">
        <f t="shared" si="143"/>
        <v>4.8538639832664359</v>
      </c>
      <c r="P86" s="178">
        <f t="shared" si="100"/>
        <v>2.1303609022556387</v>
      </c>
      <c r="Q86" s="223">
        <f t="shared" si="101"/>
        <v>0.9707727966532872</v>
      </c>
      <c r="R86" s="223">
        <f t="shared" si="102"/>
        <v>1.4708678737171019</v>
      </c>
      <c r="S86" s="454">
        <f t="shared" si="103"/>
        <v>5</v>
      </c>
      <c r="T86" s="223">
        <f t="shared" si="104"/>
        <v>1.2515801886792455</v>
      </c>
      <c r="U86" s="223">
        <f t="shared" si="105"/>
        <v>1.5644752358490568</v>
      </c>
      <c r="V86" s="223">
        <f t="shared" si="106"/>
        <v>2.361472054111784</v>
      </c>
      <c r="W86" s="203">
        <f t="shared" si="107"/>
        <v>350</v>
      </c>
      <c r="X86" s="454">
        <f t="shared" si="144"/>
        <v>254.7155950252135</v>
      </c>
      <c r="Z86" s="223">
        <f t="shared" si="108"/>
        <v>0.91084854994629427</v>
      </c>
      <c r="AA86" s="179">
        <f t="shared" si="109"/>
        <v>1.7185821697099894</v>
      </c>
      <c r="AB86" s="179">
        <f t="shared" si="110"/>
        <v>0.82181824055304764</v>
      </c>
      <c r="AC86" s="179"/>
      <c r="AD86" s="179">
        <f t="shared" si="111"/>
        <v>0.5660377358490567</v>
      </c>
      <c r="AE86" s="563">
        <f t="shared" si="112"/>
        <v>3179.9999999999995</v>
      </c>
      <c r="AF86" s="546">
        <f t="shared" si="113"/>
        <v>8.9150943396226423E-2</v>
      </c>
      <c r="AH86" s="179">
        <f t="shared" si="114"/>
        <v>1.012916580968048</v>
      </c>
      <c r="AI86" s="179">
        <f t="shared" si="115"/>
        <v>1.012916580968048</v>
      </c>
      <c r="AJ86" s="179">
        <f t="shared" si="116"/>
        <v>1.7280863562726281</v>
      </c>
      <c r="AL86" s="563">
        <f t="shared" si="117"/>
        <v>810</v>
      </c>
      <c r="AM86" s="472">
        <f t="shared" si="118"/>
        <v>254.7155950252135</v>
      </c>
      <c r="AO86">
        <f t="shared" si="145"/>
        <v>810</v>
      </c>
      <c r="AP86">
        <f t="shared" si="119"/>
        <v>254.7155950252135</v>
      </c>
      <c r="AR86" s="6">
        <f t="shared" si="146"/>
        <v>3.925947289960841</v>
      </c>
      <c r="AS86" s="6">
        <f t="shared" si="120"/>
        <v>1.2661457262100599</v>
      </c>
      <c r="AT86" s="6">
        <f t="shared" si="147"/>
        <v>2.659801563750781</v>
      </c>
      <c r="AU86" s="179">
        <f t="shared" si="148"/>
        <v>0.3225070620402265</v>
      </c>
      <c r="AW86" s="6">
        <f t="shared" si="121"/>
        <v>20.511560764602972</v>
      </c>
      <c r="AX86" s="6">
        <f t="shared" si="122"/>
        <v>15.539061185305282</v>
      </c>
      <c r="AY86" s="6">
        <f t="shared" si="123"/>
        <v>0.41559399433605954</v>
      </c>
      <c r="AZ86" s="6"/>
      <c r="BA86" s="179">
        <f t="shared" si="149"/>
        <v>0.33211054668251277</v>
      </c>
      <c r="BB86" s="179">
        <f t="shared" si="124"/>
        <v>1.4440648403171454</v>
      </c>
      <c r="BC86" s="179">
        <f t="shared" si="125"/>
        <v>0.70157483492074657</v>
      </c>
      <c r="BD86" s="179"/>
      <c r="BE86" s="546">
        <f t="shared" si="126"/>
        <v>3.8604095326215122E-2</v>
      </c>
      <c r="BF86" s="546">
        <f t="shared" si="127"/>
        <v>7.7208190652430217E-2</v>
      </c>
      <c r="BG86" s="546">
        <f t="shared" si="128"/>
        <v>3.183944937815169E-3</v>
      </c>
      <c r="BH86" s="546">
        <f t="shared" si="129"/>
        <v>2.0275488721804506E-2</v>
      </c>
      <c r="BI86">
        <f t="shared" si="130"/>
        <v>6.96E-3</v>
      </c>
      <c r="BJ86">
        <f t="shared" si="131"/>
        <v>0.15349649053476433</v>
      </c>
      <c r="BK86" s="472">
        <f t="shared" si="150"/>
        <v>153.49649053476432</v>
      </c>
      <c r="BL86" s="179">
        <f t="shared" si="132"/>
        <v>0.31428000000000006</v>
      </c>
      <c r="BM86" s="179">
        <f t="shared" si="133"/>
        <v>0.15714000000000003</v>
      </c>
      <c r="BN86" s="546"/>
      <c r="BP86" s="472">
        <f t="shared" si="151"/>
        <v>471.42000000000007</v>
      </c>
      <c r="BQ86" s="546">
        <f t="shared" si="134"/>
        <v>2.20594830435515E-2</v>
      </c>
      <c r="BR86" s="546">
        <f t="shared" si="135"/>
        <v>8.3412930521607309E-2</v>
      </c>
      <c r="BS86" s="546">
        <f t="shared" si="136"/>
        <v>4.9220724899407285E-2</v>
      </c>
      <c r="BT86" s="546">
        <f t="shared" si="137"/>
        <v>5.346173442854326E-2</v>
      </c>
      <c r="BU86" s="546">
        <f t="shared" si="138"/>
        <v>0.22955894500205593</v>
      </c>
      <c r="BV86" s="655">
        <f t="shared" si="139"/>
        <v>2.6133820049586913E-2</v>
      </c>
      <c r="BW86" s="472">
        <f t="shared" si="152"/>
        <v>255.69276505164285</v>
      </c>
      <c r="BX86" s="179">
        <f t="shared" si="153"/>
        <v>0.88060925558640712</v>
      </c>
      <c r="BY86" s="6">
        <f t="shared" si="154"/>
        <v>5.3865000000000007</v>
      </c>
      <c r="BZ86" s="179">
        <f t="shared" si="155"/>
        <v>0.85948717029283561</v>
      </c>
      <c r="CA86" s="6">
        <f t="shared" si="156"/>
        <v>85.948717029283557</v>
      </c>
      <c r="CB86">
        <f t="shared" si="157"/>
        <v>81</v>
      </c>
      <c r="CD86" s="581">
        <f t="shared" si="140"/>
        <v>-50</v>
      </c>
      <c r="CE86">
        <f t="shared" si="141"/>
        <v>-50</v>
      </c>
    </row>
    <row r="87" spans="5:83" x14ac:dyDescent="0.2">
      <c r="E87" s="176">
        <v>82</v>
      </c>
      <c r="F87" s="223">
        <f t="shared" si="158"/>
        <v>0.82</v>
      </c>
      <c r="G87" s="223">
        <f t="shared" si="142"/>
        <v>0.41</v>
      </c>
      <c r="H87" s="223">
        <f t="shared" si="95"/>
        <v>4.0999999999999996</v>
      </c>
      <c r="I87" s="223">
        <f t="shared" si="159"/>
        <v>1.3529999999999998</v>
      </c>
      <c r="J87" s="559">
        <f t="shared" si="96"/>
        <v>24</v>
      </c>
      <c r="K87" s="454">
        <f t="shared" si="97"/>
        <v>15.899999999999999</v>
      </c>
      <c r="L87" s="454">
        <f t="shared" si="98"/>
        <v>39.9</v>
      </c>
      <c r="M87" s="454"/>
      <c r="N87" s="223">
        <f t="shared" si="99"/>
        <v>0.39849624060150374</v>
      </c>
      <c r="O87" s="178">
        <f t="shared" si="143"/>
        <v>4.8538639832664359</v>
      </c>
      <c r="P87" s="178">
        <f t="shared" si="100"/>
        <v>2.1303609022556387</v>
      </c>
      <c r="Q87" s="223">
        <f t="shared" si="101"/>
        <v>0.9707727966532872</v>
      </c>
      <c r="R87" s="223">
        <f t="shared" si="102"/>
        <v>1.4708678737171019</v>
      </c>
      <c r="S87" s="454">
        <f t="shared" si="103"/>
        <v>5</v>
      </c>
      <c r="T87" s="223">
        <f t="shared" si="104"/>
        <v>1.2670317959468902</v>
      </c>
      <c r="U87" s="223">
        <f t="shared" si="105"/>
        <v>1.5837897449336127</v>
      </c>
      <c r="V87" s="223">
        <f t="shared" si="106"/>
        <v>2.3906260300884723</v>
      </c>
      <c r="W87" s="203">
        <f t="shared" si="107"/>
        <v>350</v>
      </c>
      <c r="X87" s="454">
        <f t="shared" si="144"/>
        <v>251.60930728100362</v>
      </c>
      <c r="Z87" s="223">
        <f t="shared" si="108"/>
        <v>0.91084854994629427</v>
      </c>
      <c r="AA87" s="179">
        <f t="shared" si="109"/>
        <v>1.7185821697099894</v>
      </c>
      <c r="AB87" s="179">
        <f t="shared" si="110"/>
        <v>0.82181824055304764</v>
      </c>
      <c r="AC87" s="179"/>
      <c r="AD87" s="179">
        <f t="shared" si="111"/>
        <v>0.5660377358490567</v>
      </c>
      <c r="AE87" s="563">
        <f t="shared" si="112"/>
        <v>3219.2592592592582</v>
      </c>
      <c r="AF87" s="546">
        <f t="shared" si="113"/>
        <v>8.9150943396226423E-2</v>
      </c>
      <c r="AH87" s="179">
        <f t="shared" si="114"/>
        <v>1.0191499726078919</v>
      </c>
      <c r="AI87" s="179">
        <f t="shared" si="115"/>
        <v>1.0191499726078919</v>
      </c>
      <c r="AJ87" s="179">
        <f t="shared" si="116"/>
        <v>1.732703683413253</v>
      </c>
      <c r="AL87" s="563">
        <f t="shared" si="117"/>
        <v>820</v>
      </c>
      <c r="AM87" s="472">
        <f t="shared" si="118"/>
        <v>251.60930728100362</v>
      </c>
      <c r="AO87">
        <f t="shared" si="145"/>
        <v>820</v>
      </c>
      <c r="AP87">
        <f t="shared" si="119"/>
        <v>251.60930728100362</v>
      </c>
      <c r="AR87" s="6">
        <f t="shared" si="146"/>
        <v>3.9744157750220848</v>
      </c>
      <c r="AS87" s="6">
        <f t="shared" si="120"/>
        <v>1.273937465759865</v>
      </c>
      <c r="AT87" s="6">
        <f t="shared" si="147"/>
        <v>2.7004783092622198</v>
      </c>
      <c r="AU87" s="179">
        <f t="shared" si="148"/>
        <v>0.32053452327915694</v>
      </c>
      <c r="AW87" s="6">
        <f t="shared" si="121"/>
        <v>20.892574438461786</v>
      </c>
      <c r="AX87" s="6">
        <f t="shared" si="122"/>
        <v>15.827707907925593</v>
      </c>
      <c r="AY87" s="6">
        <f t="shared" si="123"/>
        <v>0.42715899182002698</v>
      </c>
      <c r="AZ87" s="6"/>
      <c r="BA87" s="179">
        <f t="shared" si="149"/>
        <v>0.33313086760108307</v>
      </c>
      <c r="BB87" s="179">
        <f t="shared" si="124"/>
        <v>1.4550650932044749</v>
      </c>
      <c r="BC87" s="179">
        <f t="shared" si="125"/>
        <v>0.70691912444850724</v>
      </c>
      <c r="BD87" s="179"/>
      <c r="BE87" s="546">
        <f t="shared" si="126"/>
        <v>3.8841661232027612E-2</v>
      </c>
      <c r="BF87" s="546">
        <f t="shared" si="127"/>
        <v>7.6735964873030124E-2</v>
      </c>
      <c r="BG87" s="546">
        <f t="shared" si="128"/>
        <v>3.1451163410125449E-3</v>
      </c>
      <c r="BH87" s="546">
        <f t="shared" si="129"/>
        <v>2.0028226664221528E-2</v>
      </c>
      <c r="BI87">
        <f t="shared" si="130"/>
        <v>6.96E-3</v>
      </c>
      <c r="BJ87">
        <f t="shared" si="131"/>
        <v>0.15301395240635393</v>
      </c>
      <c r="BK87" s="472">
        <f t="shared" si="150"/>
        <v>153.01395240635392</v>
      </c>
      <c r="BL87" s="179">
        <f t="shared" si="132"/>
        <v>0.31816</v>
      </c>
      <c r="BM87" s="179">
        <f t="shared" si="133"/>
        <v>0.15908</v>
      </c>
      <c r="BN87" s="546"/>
      <c r="BP87" s="472">
        <f t="shared" si="151"/>
        <v>477.24</v>
      </c>
      <c r="BQ87" s="546">
        <f t="shared" si="134"/>
        <v>2.219523498973007E-2</v>
      </c>
      <c r="BR87" s="546">
        <f t="shared" si="135"/>
        <v>8.468857701848588E-2</v>
      </c>
      <c r="BS87" s="546">
        <f t="shared" si="136"/>
        <v>4.9973464851104404E-2</v>
      </c>
      <c r="BT87" s="546">
        <f t="shared" si="137"/>
        <v>5.2648015098017906E-2</v>
      </c>
      <c r="BU87" s="546">
        <f t="shared" si="138"/>
        <v>0.23122977095654051</v>
      </c>
      <c r="BV87" s="655">
        <f t="shared" si="139"/>
        <v>2.613382004958691E-2</v>
      </c>
      <c r="BW87" s="472">
        <f t="shared" si="152"/>
        <v>257.36359100612742</v>
      </c>
      <c r="BX87" s="179">
        <f t="shared" si="153"/>
        <v>0.88761754341248134</v>
      </c>
      <c r="BY87" s="6">
        <f t="shared" si="154"/>
        <v>5.4529999999999994</v>
      </c>
      <c r="BZ87" s="179">
        <f t="shared" si="155"/>
        <v>0.86001086844692864</v>
      </c>
      <c r="CA87" s="6">
        <f t="shared" si="156"/>
        <v>86.001086844692864</v>
      </c>
      <c r="CB87">
        <f t="shared" si="157"/>
        <v>82</v>
      </c>
      <c r="CD87" s="581">
        <f t="shared" si="140"/>
        <v>-50</v>
      </c>
      <c r="CE87">
        <f t="shared" si="141"/>
        <v>-50</v>
      </c>
    </row>
    <row r="88" spans="5:83" x14ac:dyDescent="0.2">
      <c r="E88" s="176">
        <v>83</v>
      </c>
      <c r="F88" s="223">
        <f t="shared" si="158"/>
        <v>0.83</v>
      </c>
      <c r="G88" s="223">
        <f t="shared" si="142"/>
        <v>0.41499999999999998</v>
      </c>
      <c r="H88" s="223">
        <f t="shared" si="95"/>
        <v>4.1499999999999995</v>
      </c>
      <c r="I88" s="223">
        <f t="shared" si="159"/>
        <v>1.3694999999999999</v>
      </c>
      <c r="J88" s="559">
        <f t="shared" si="96"/>
        <v>24</v>
      </c>
      <c r="K88" s="454">
        <f t="shared" si="97"/>
        <v>15.899999999999999</v>
      </c>
      <c r="L88" s="454">
        <f t="shared" si="98"/>
        <v>39.9</v>
      </c>
      <c r="M88" s="454"/>
      <c r="N88" s="223">
        <f t="shared" si="99"/>
        <v>0.39849624060150374</v>
      </c>
      <c r="O88" s="178">
        <f t="shared" si="143"/>
        <v>4.8538639832664359</v>
      </c>
      <c r="P88" s="178">
        <f t="shared" si="100"/>
        <v>2.1303609022556387</v>
      </c>
      <c r="Q88" s="223">
        <f t="shared" si="101"/>
        <v>0.9707727966532872</v>
      </c>
      <c r="R88" s="223">
        <f t="shared" si="102"/>
        <v>1.4708678737171019</v>
      </c>
      <c r="S88" s="454">
        <f t="shared" si="103"/>
        <v>5</v>
      </c>
      <c r="T88" s="223">
        <f t="shared" si="104"/>
        <v>1.2824834032145349</v>
      </c>
      <c r="U88" s="223">
        <f t="shared" si="105"/>
        <v>1.6031042540181686</v>
      </c>
      <c r="V88" s="223">
        <f t="shared" si="106"/>
        <v>2.4197800060651602</v>
      </c>
      <c r="W88" s="203">
        <f t="shared" si="107"/>
        <v>350</v>
      </c>
      <c r="X88" s="454">
        <f t="shared" si="144"/>
        <v>248.57786984388321</v>
      </c>
      <c r="Z88" s="223">
        <f t="shared" si="108"/>
        <v>0.91084854994629427</v>
      </c>
      <c r="AA88" s="179">
        <f t="shared" si="109"/>
        <v>1.7185821697099894</v>
      </c>
      <c r="AB88" s="179">
        <f t="shared" si="110"/>
        <v>0.82181824055304764</v>
      </c>
      <c r="AC88" s="179"/>
      <c r="AD88" s="179">
        <f t="shared" si="111"/>
        <v>0.5660377358490567</v>
      </c>
      <c r="AE88" s="563">
        <f t="shared" si="112"/>
        <v>3258.5185185185178</v>
      </c>
      <c r="AF88" s="546">
        <f t="shared" si="113"/>
        <v>8.9150943396226423E-2</v>
      </c>
      <c r="AH88" s="179">
        <f t="shared" si="114"/>
        <v>1.0253454702359266</v>
      </c>
      <c r="AI88" s="179">
        <f t="shared" si="115"/>
        <v>1.2824834032145349</v>
      </c>
      <c r="AJ88" s="179">
        <f t="shared" si="116"/>
        <v>1.9277654838626184</v>
      </c>
      <c r="AL88" s="563">
        <f t="shared" si="117"/>
        <v>830</v>
      </c>
      <c r="AM88" s="472">
        <f t="shared" si="118"/>
        <v>248.57786984388321</v>
      </c>
      <c r="AO88">
        <f t="shared" si="145"/>
        <v>830</v>
      </c>
      <c r="AP88">
        <f t="shared" si="119"/>
        <v>248.57786984388321</v>
      </c>
      <c r="AR88" s="6">
        <f t="shared" si="146"/>
        <v>4.0228842600833286</v>
      </c>
      <c r="AS88" s="6">
        <f t="shared" si="120"/>
        <v>1.6031042540181686</v>
      </c>
      <c r="AT88" s="6">
        <f t="shared" si="147"/>
        <v>2.4197800060651602</v>
      </c>
      <c r="AU88" s="179">
        <f t="shared" si="148"/>
        <v>0.39849624060150379</v>
      </c>
      <c r="AW88" s="6">
        <f t="shared" si="121"/>
        <v>26.611530616701597</v>
      </c>
      <c r="AX88" s="6">
        <f t="shared" si="122"/>
        <v>20.160250467198182</v>
      </c>
      <c r="AY88" s="6">
        <f t="shared" si="123"/>
        <v>0.38742619695873509</v>
      </c>
      <c r="AZ88" s="6"/>
      <c r="BA88" s="179">
        <f t="shared" si="149"/>
        <v>0.46741564050528939</v>
      </c>
      <c r="BB88" s="179">
        <f t="shared" si="124"/>
        <v>1.7227868729652769</v>
      </c>
      <c r="BC88" s="179">
        <f t="shared" si="125"/>
        <v>0.83698728911563036</v>
      </c>
      <c r="BD88" s="179"/>
      <c r="BE88" s="546">
        <f t="shared" si="126"/>
        <v>7.6467083346139469E-2</v>
      </c>
      <c r="BF88" s="546">
        <f t="shared" si="127"/>
        <v>9.5399999999999985E-2</v>
      </c>
      <c r="BG88" s="546">
        <f t="shared" si="128"/>
        <v>3.1072233730485401E-3</v>
      </c>
      <c r="BH88" s="546">
        <f t="shared" si="129"/>
        <v>1.9786922728508027E-2</v>
      </c>
      <c r="BI88">
        <f t="shared" si="130"/>
        <v>6.96E-3</v>
      </c>
      <c r="BJ88">
        <f t="shared" si="131"/>
        <v>0.21781549105381751</v>
      </c>
      <c r="BK88" s="472">
        <f t="shared" si="150"/>
        <v>217.81549105381751</v>
      </c>
      <c r="BL88" s="179">
        <f t="shared" si="132"/>
        <v>0.32203999999999999</v>
      </c>
      <c r="BM88" s="179">
        <f t="shared" si="133"/>
        <v>0.16102</v>
      </c>
      <c r="BN88" s="546"/>
      <c r="BP88" s="472">
        <f t="shared" si="151"/>
        <v>483.06</v>
      </c>
      <c r="BQ88" s="546">
        <f t="shared" si="134"/>
        <v>4.3695476197793987E-2</v>
      </c>
      <c r="BR88" s="546">
        <f t="shared" si="135"/>
        <v>0.11871978438645908</v>
      </c>
      <c r="BS88" s="546">
        <f t="shared" si="136"/>
        <v>7.0054772214113187E-2</v>
      </c>
      <c r="BT88" s="546">
        <f t="shared" si="137"/>
        <v>9.0730967801936277E-2</v>
      </c>
      <c r="BU88" s="546">
        <f t="shared" si="138"/>
        <v>0.35775071008059245</v>
      </c>
      <c r="BV88" s="655">
        <f t="shared" si="139"/>
        <v>4.0885185185185184E-2</v>
      </c>
      <c r="BW88" s="472">
        <f t="shared" si="152"/>
        <v>398.63589526577766</v>
      </c>
      <c r="BX88" s="179">
        <f t="shared" si="153"/>
        <v>1.0995113863195951</v>
      </c>
      <c r="BY88" s="6">
        <f t="shared" si="154"/>
        <v>5.519499999999999</v>
      </c>
      <c r="BZ88" s="179">
        <f t="shared" si="155"/>
        <v>0.83388585966295459</v>
      </c>
      <c r="CA88" s="6">
        <f t="shared" si="156"/>
        <v>83.388585966295466</v>
      </c>
      <c r="CB88">
        <f t="shared" si="157"/>
        <v>83</v>
      </c>
      <c r="CD88" s="581">
        <f t="shared" si="140"/>
        <v>-50</v>
      </c>
      <c r="CE88">
        <f t="shared" si="141"/>
        <v>-50</v>
      </c>
    </row>
    <row r="89" spans="5:83" x14ac:dyDescent="0.2">
      <c r="E89" s="176">
        <v>84</v>
      </c>
      <c r="F89" s="223">
        <f t="shared" si="158"/>
        <v>0.84</v>
      </c>
      <c r="G89" s="223">
        <f t="shared" si="142"/>
        <v>0.42</v>
      </c>
      <c r="H89" s="223">
        <f t="shared" si="95"/>
        <v>4.2</v>
      </c>
      <c r="I89" s="223">
        <f t="shared" si="159"/>
        <v>1.3859999999999999</v>
      </c>
      <c r="J89" s="559">
        <f t="shared" si="96"/>
        <v>24</v>
      </c>
      <c r="K89" s="454">
        <f t="shared" si="97"/>
        <v>15.899999999999999</v>
      </c>
      <c r="L89" s="454">
        <f t="shared" si="98"/>
        <v>39.9</v>
      </c>
      <c r="M89" s="454"/>
      <c r="N89" s="223">
        <f t="shared" si="99"/>
        <v>0.39849624060150374</v>
      </c>
      <c r="O89" s="178">
        <f t="shared" si="143"/>
        <v>4.8538639832664359</v>
      </c>
      <c r="P89" s="178">
        <f t="shared" si="100"/>
        <v>2.1303609022556387</v>
      </c>
      <c r="Q89" s="223">
        <f t="shared" si="101"/>
        <v>0.9707727966532872</v>
      </c>
      <c r="R89" s="223">
        <f t="shared" si="102"/>
        <v>1.4708678737171019</v>
      </c>
      <c r="S89" s="454">
        <f t="shared" si="103"/>
        <v>5</v>
      </c>
      <c r="T89" s="223">
        <f t="shared" si="104"/>
        <v>1.2979350104821803</v>
      </c>
      <c r="U89" s="223">
        <f t="shared" si="105"/>
        <v>1.6224187631027254</v>
      </c>
      <c r="V89" s="223">
        <f t="shared" si="106"/>
        <v>2.4489339820418499</v>
      </c>
      <c r="W89" s="203">
        <f t="shared" si="107"/>
        <v>350</v>
      </c>
      <c r="X89" s="454">
        <f t="shared" si="144"/>
        <v>245.61860948859876</v>
      </c>
      <c r="Z89" s="223">
        <f t="shared" si="108"/>
        <v>0.91084854994629427</v>
      </c>
      <c r="AA89" s="179">
        <f t="shared" si="109"/>
        <v>1.7185821697099894</v>
      </c>
      <c r="AB89" s="179">
        <f t="shared" si="110"/>
        <v>0.82181824055304764</v>
      </c>
      <c r="AC89" s="179"/>
      <c r="AD89" s="179">
        <f t="shared" si="111"/>
        <v>0.5660377358490567</v>
      </c>
      <c r="AE89" s="563">
        <f t="shared" si="112"/>
        <v>3297.7777777777765</v>
      </c>
      <c r="AF89" s="546">
        <f t="shared" si="113"/>
        <v>8.9150943396226423E-2</v>
      </c>
      <c r="AH89" s="179">
        <f t="shared" si="114"/>
        <v>1.0315037566582101</v>
      </c>
      <c r="AI89" s="179">
        <f t="shared" si="115"/>
        <v>1.2979350104821803</v>
      </c>
      <c r="AJ89" s="179">
        <f t="shared" si="116"/>
        <v>1.9392111188756891</v>
      </c>
      <c r="AL89" s="563">
        <f t="shared" si="117"/>
        <v>840</v>
      </c>
      <c r="AM89" s="472">
        <f t="shared" si="118"/>
        <v>245.61860948859876</v>
      </c>
      <c r="AO89">
        <f t="shared" si="145"/>
        <v>840</v>
      </c>
      <c r="AP89">
        <f t="shared" si="119"/>
        <v>245.61860948859876</v>
      </c>
      <c r="AR89" s="6">
        <f t="shared" si="146"/>
        <v>4.0713527451445755</v>
      </c>
      <c r="AS89" s="6">
        <f t="shared" si="120"/>
        <v>1.6224187631027254</v>
      </c>
      <c r="AT89" s="6">
        <f t="shared" si="147"/>
        <v>2.4489339820418499</v>
      </c>
      <c r="AU89" s="179">
        <f t="shared" si="148"/>
        <v>0.39849624060150374</v>
      </c>
      <c r="AW89" s="6">
        <f t="shared" si="121"/>
        <v>27.256635220125784</v>
      </c>
      <c r="AX89" s="6">
        <f t="shared" si="122"/>
        <v>20.648966075852869</v>
      </c>
      <c r="AY89" s="6">
        <f t="shared" si="123"/>
        <v>0.39681800634937375</v>
      </c>
      <c r="AZ89" s="6"/>
      <c r="BA89" s="179">
        <f t="shared" si="149"/>
        <v>0.47304715424631699</v>
      </c>
      <c r="BB89" s="179">
        <f t="shared" si="124"/>
        <v>1.7435433413142567</v>
      </c>
      <c r="BC89" s="179">
        <f t="shared" si="125"/>
        <v>0.84707147332184307</v>
      </c>
      <c r="BD89" s="179"/>
      <c r="BE89" s="546">
        <f t="shared" si="126"/>
        <v>7.8320763549188585E-2</v>
      </c>
      <c r="BF89" s="546">
        <f t="shared" si="127"/>
        <v>9.5399999999999971E-2</v>
      </c>
      <c r="BG89" s="546">
        <f t="shared" si="128"/>
        <v>3.0702326186074847E-3</v>
      </c>
      <c r="BH89" s="546">
        <f t="shared" si="129"/>
        <v>1.9551364124597206E-2</v>
      </c>
      <c r="BI89">
        <f t="shared" si="130"/>
        <v>6.96E-3</v>
      </c>
      <c r="BJ89">
        <f t="shared" si="131"/>
        <v>0.21984176086023685</v>
      </c>
      <c r="BK89" s="472">
        <f t="shared" si="150"/>
        <v>219.84176086023686</v>
      </c>
      <c r="BL89" s="179">
        <f t="shared" si="132"/>
        <v>0.32591999999999999</v>
      </c>
      <c r="BM89" s="179">
        <f t="shared" si="133"/>
        <v>0.16295999999999999</v>
      </c>
      <c r="BN89" s="546"/>
      <c r="BP89" s="472">
        <f t="shared" si="151"/>
        <v>488.88</v>
      </c>
      <c r="BQ89" s="546">
        <f t="shared" si="134"/>
        <v>4.4754722028107763E-2</v>
      </c>
      <c r="BR89" s="546">
        <f t="shared" si="135"/>
        <v>0.12159773532165132</v>
      </c>
      <c r="BS89" s="546">
        <f t="shared" si="136"/>
        <v>7.1753008091563791E-2</v>
      </c>
      <c r="BT89" s="546">
        <f t="shared" si="137"/>
        <v>9.0730967801936235E-2</v>
      </c>
      <c r="BU89" s="546">
        <f t="shared" si="138"/>
        <v>0.36434937530340772</v>
      </c>
      <c r="BV89" s="655">
        <f t="shared" si="139"/>
        <v>4.1377777777777777E-2</v>
      </c>
      <c r="BW89" s="472">
        <f t="shared" si="152"/>
        <v>405.72715308118552</v>
      </c>
      <c r="BX89" s="179">
        <f t="shared" si="153"/>
        <v>1.1144489139414222</v>
      </c>
      <c r="BY89" s="6">
        <f t="shared" si="154"/>
        <v>5.5860000000000003</v>
      </c>
      <c r="BZ89" s="179">
        <f t="shared" si="155"/>
        <v>0.83367548529134783</v>
      </c>
      <c r="CA89" s="6">
        <f t="shared" si="156"/>
        <v>83.36754852913478</v>
      </c>
      <c r="CB89">
        <f t="shared" si="157"/>
        <v>84</v>
      </c>
      <c r="CD89" s="581">
        <f t="shared" si="140"/>
        <v>-50</v>
      </c>
      <c r="CE89">
        <f t="shared" si="141"/>
        <v>-50</v>
      </c>
    </row>
    <row r="90" spans="5:83" x14ac:dyDescent="0.2">
      <c r="E90" s="176">
        <v>85</v>
      </c>
      <c r="F90" s="223">
        <f t="shared" si="158"/>
        <v>0.85</v>
      </c>
      <c r="G90" s="223">
        <f t="shared" si="142"/>
        <v>0.42499999999999999</v>
      </c>
      <c r="H90" s="223">
        <f t="shared" si="95"/>
        <v>4.25</v>
      </c>
      <c r="I90" s="223">
        <f t="shared" si="159"/>
        <v>1.4024999999999999</v>
      </c>
      <c r="J90" s="559">
        <f t="shared" si="96"/>
        <v>24</v>
      </c>
      <c r="K90" s="454">
        <f t="shared" si="97"/>
        <v>15.899999999999999</v>
      </c>
      <c r="L90" s="454">
        <f t="shared" si="98"/>
        <v>39.9</v>
      </c>
      <c r="M90" s="454"/>
      <c r="N90" s="223">
        <f t="shared" si="99"/>
        <v>0.39849624060150374</v>
      </c>
      <c r="O90" s="178">
        <f t="shared" si="143"/>
        <v>4.8538639832664359</v>
      </c>
      <c r="P90" s="178">
        <f t="shared" si="100"/>
        <v>2.1303609022556387</v>
      </c>
      <c r="Q90" s="223">
        <f t="shared" si="101"/>
        <v>0.9707727966532872</v>
      </c>
      <c r="R90" s="223">
        <f t="shared" si="102"/>
        <v>1.4708678737171019</v>
      </c>
      <c r="S90" s="454">
        <f t="shared" si="103"/>
        <v>5</v>
      </c>
      <c r="T90" s="223">
        <f t="shared" si="104"/>
        <v>1.3133866177498252</v>
      </c>
      <c r="U90" s="223">
        <f t="shared" si="105"/>
        <v>1.6417332721872817</v>
      </c>
      <c r="V90" s="223">
        <f t="shared" si="106"/>
        <v>2.4780879580185382</v>
      </c>
      <c r="W90" s="203">
        <f t="shared" si="107"/>
        <v>350</v>
      </c>
      <c r="X90" s="454">
        <f t="shared" si="144"/>
        <v>242.72897878873292</v>
      </c>
      <c r="Z90" s="223">
        <f t="shared" si="108"/>
        <v>0.91084854994629427</v>
      </c>
      <c r="AA90" s="179">
        <f t="shared" si="109"/>
        <v>1.7185821697099894</v>
      </c>
      <c r="AB90" s="179">
        <f t="shared" si="110"/>
        <v>0.82181824055304764</v>
      </c>
      <c r="AC90" s="179"/>
      <c r="AD90" s="179">
        <f t="shared" si="111"/>
        <v>0.5660377358490567</v>
      </c>
      <c r="AE90" s="563">
        <f t="shared" si="112"/>
        <v>3337.0370370370365</v>
      </c>
      <c r="AF90" s="546">
        <f t="shared" si="113"/>
        <v>8.9150943396226423E-2</v>
      </c>
      <c r="AH90" s="179">
        <f t="shared" si="114"/>
        <v>1.0376254944182253</v>
      </c>
      <c r="AI90" s="179">
        <f t="shared" si="115"/>
        <v>1.3133866177498252</v>
      </c>
      <c r="AJ90" s="179">
        <f t="shared" si="116"/>
        <v>1.9506567538887594</v>
      </c>
      <c r="AL90" s="563">
        <f t="shared" si="117"/>
        <v>850</v>
      </c>
      <c r="AM90" s="472">
        <f t="shared" si="118"/>
        <v>242.72897878873292</v>
      </c>
      <c r="AO90">
        <f t="shared" si="145"/>
        <v>850</v>
      </c>
      <c r="AP90">
        <f t="shared" si="119"/>
        <v>242.72897878873292</v>
      </c>
      <c r="AR90" s="6">
        <f t="shared" si="146"/>
        <v>4.1198212302058197</v>
      </c>
      <c r="AS90" s="6">
        <f t="shared" si="120"/>
        <v>1.6417332721872817</v>
      </c>
      <c r="AT90" s="6">
        <f t="shared" si="147"/>
        <v>2.4780879580185378</v>
      </c>
      <c r="AU90" s="179">
        <f t="shared" si="148"/>
        <v>0.39849624060150379</v>
      </c>
      <c r="AW90" s="6">
        <f t="shared" si="121"/>
        <v>27.909465627183788</v>
      </c>
      <c r="AX90" s="6">
        <f t="shared" si="122"/>
        <v>21.143534566048324</v>
      </c>
      <c r="AY90" s="6">
        <f t="shared" si="123"/>
        <v>0.4063222924991815</v>
      </c>
      <c r="AZ90" s="6"/>
      <c r="BA90" s="179">
        <f t="shared" si="149"/>
        <v>0.47867866798734465</v>
      </c>
      <c r="BB90" s="179">
        <f t="shared" si="124"/>
        <v>1.7642998096632359</v>
      </c>
      <c r="BC90" s="179">
        <f t="shared" si="125"/>
        <v>0.85715565752805534</v>
      </c>
      <c r="BD90" s="179"/>
      <c r="BE90" s="546">
        <f t="shared" si="126"/>
        <v>8.0196643515148477E-2</v>
      </c>
      <c r="BF90" s="546">
        <f t="shared" si="127"/>
        <v>9.5399999999999985E-2</v>
      </c>
      <c r="BG90" s="546">
        <f t="shared" si="128"/>
        <v>3.034112234859161E-3</v>
      </c>
      <c r="BH90" s="546">
        <f t="shared" si="129"/>
        <v>1.9321348076072532E-2</v>
      </c>
      <c r="BI90">
        <f t="shared" si="130"/>
        <v>6.96E-3</v>
      </c>
      <c r="BJ90">
        <f t="shared" si="131"/>
        <v>0.2219049765860994</v>
      </c>
      <c r="BK90" s="472">
        <f t="shared" si="150"/>
        <v>221.90497658609939</v>
      </c>
      <c r="BL90" s="179">
        <f t="shared" si="132"/>
        <v>0.32980000000000004</v>
      </c>
      <c r="BM90" s="179">
        <f t="shared" si="133"/>
        <v>0.16490000000000002</v>
      </c>
      <c r="BN90" s="546"/>
      <c r="BP90" s="472">
        <f t="shared" si="151"/>
        <v>494.70000000000005</v>
      </c>
      <c r="BQ90" s="546">
        <f t="shared" si="134"/>
        <v>4.5826653437227707E-2</v>
      </c>
      <c r="BR90" s="546">
        <f t="shared" si="135"/>
        <v>0.12451015273510921</v>
      </c>
      <c r="BS90" s="546">
        <f t="shared" si="136"/>
        <v>7.3471582123235291E-2</v>
      </c>
      <c r="BT90" s="546">
        <f t="shared" si="137"/>
        <v>9.0730967801936194E-2</v>
      </c>
      <c r="BU90" s="546">
        <f t="shared" si="138"/>
        <v>0.37103324407228438</v>
      </c>
      <c r="BV90" s="655">
        <f t="shared" si="139"/>
        <v>4.187037037037037E-2</v>
      </c>
      <c r="BW90" s="472">
        <f t="shared" si="152"/>
        <v>412.90361444265477</v>
      </c>
      <c r="BX90" s="179">
        <f t="shared" si="153"/>
        <v>1.1295085910287543</v>
      </c>
      <c r="BY90" s="6">
        <f t="shared" si="154"/>
        <v>5.6524999999999999</v>
      </c>
      <c r="BZ90" s="179">
        <f t="shared" si="155"/>
        <v>0.83345515183763275</v>
      </c>
      <c r="CA90" s="6">
        <f t="shared" si="156"/>
        <v>83.345515183763268</v>
      </c>
      <c r="CB90">
        <f t="shared" si="157"/>
        <v>85</v>
      </c>
      <c r="CD90" s="581">
        <f t="shared" si="140"/>
        <v>-50</v>
      </c>
      <c r="CE90">
        <f t="shared" si="141"/>
        <v>-50</v>
      </c>
    </row>
    <row r="91" spans="5:83" x14ac:dyDescent="0.2">
      <c r="E91" s="176">
        <v>86</v>
      </c>
      <c r="F91" s="223">
        <f t="shared" si="158"/>
        <v>0.86</v>
      </c>
      <c r="G91" s="223">
        <f t="shared" si="142"/>
        <v>0.43</v>
      </c>
      <c r="H91" s="223">
        <f t="shared" si="95"/>
        <v>4.3</v>
      </c>
      <c r="I91" s="223">
        <f t="shared" si="159"/>
        <v>1.4189999999999998</v>
      </c>
      <c r="J91" s="559">
        <f t="shared" si="96"/>
        <v>24</v>
      </c>
      <c r="K91" s="454">
        <f t="shared" si="97"/>
        <v>15.899999999999999</v>
      </c>
      <c r="L91" s="454">
        <f t="shared" si="98"/>
        <v>39.9</v>
      </c>
      <c r="M91" s="454"/>
      <c r="N91" s="223">
        <f t="shared" si="99"/>
        <v>0.39849624060150374</v>
      </c>
      <c r="O91" s="178">
        <f t="shared" si="143"/>
        <v>4.8538639832664359</v>
      </c>
      <c r="P91" s="178">
        <f t="shared" si="100"/>
        <v>2.1303609022556387</v>
      </c>
      <c r="Q91" s="223">
        <f t="shared" si="101"/>
        <v>0.9707727966532872</v>
      </c>
      <c r="R91" s="223">
        <f t="shared" si="102"/>
        <v>1.4708678737171019</v>
      </c>
      <c r="S91" s="454">
        <f t="shared" si="103"/>
        <v>5</v>
      </c>
      <c r="T91" s="223">
        <f t="shared" si="104"/>
        <v>1.3288382250174702</v>
      </c>
      <c r="U91" s="223">
        <f t="shared" si="105"/>
        <v>1.6610477812718376</v>
      </c>
      <c r="V91" s="223">
        <f t="shared" si="106"/>
        <v>2.507241933995227</v>
      </c>
      <c r="W91" s="203">
        <f t="shared" si="107"/>
        <v>350</v>
      </c>
      <c r="X91" s="454">
        <f t="shared" si="144"/>
        <v>239.90654880281741</v>
      </c>
      <c r="Z91" s="223">
        <f t="shared" si="108"/>
        <v>0.91084854994629427</v>
      </c>
      <c r="AA91" s="179">
        <f t="shared" si="109"/>
        <v>1.7185821697099894</v>
      </c>
      <c r="AB91" s="179">
        <f t="shared" si="110"/>
        <v>0.82181824055304764</v>
      </c>
      <c r="AC91" s="179"/>
      <c r="AD91" s="179">
        <f t="shared" si="111"/>
        <v>0.5660377358490567</v>
      </c>
      <c r="AE91" s="563">
        <f t="shared" si="112"/>
        <v>3376.2962962962956</v>
      </c>
      <c r="AF91" s="546">
        <f t="shared" si="113"/>
        <v>8.9150943396226423E-2</v>
      </c>
      <c r="AH91" s="179">
        <f t="shared" si="114"/>
        <v>1.04371132662884</v>
      </c>
      <c r="AI91" s="179">
        <f t="shared" si="115"/>
        <v>1.3288382250174702</v>
      </c>
      <c r="AJ91" s="179">
        <f t="shared" si="116"/>
        <v>1.9621023889018296</v>
      </c>
      <c r="AL91" s="563">
        <f t="shared" si="117"/>
        <v>860</v>
      </c>
      <c r="AM91" s="472">
        <f t="shared" si="118"/>
        <v>239.90654880281741</v>
      </c>
      <c r="AO91">
        <f t="shared" si="145"/>
        <v>860</v>
      </c>
      <c r="AP91">
        <f t="shared" si="119"/>
        <v>239.90654880281741</v>
      </c>
      <c r="AR91" s="6">
        <f t="shared" si="146"/>
        <v>4.1682897152670648</v>
      </c>
      <c r="AS91" s="6">
        <f t="shared" si="120"/>
        <v>1.6610477812718376</v>
      </c>
      <c r="AT91" s="6">
        <f t="shared" si="147"/>
        <v>2.5072419339952274</v>
      </c>
      <c r="AU91" s="179">
        <f t="shared" si="148"/>
        <v>0.39849624060150368</v>
      </c>
      <c r="AW91" s="6">
        <f t="shared" si="121"/>
        <v>28.570021837875608</v>
      </c>
      <c r="AX91" s="6">
        <f t="shared" si="122"/>
        <v>21.643955937784551</v>
      </c>
      <c r="AY91" s="6">
        <f t="shared" si="123"/>
        <v>0.41593905540815884</v>
      </c>
      <c r="AZ91" s="6"/>
      <c r="BA91" s="179">
        <f t="shared" si="149"/>
        <v>0.48431018172837204</v>
      </c>
      <c r="BB91" s="179">
        <f t="shared" si="124"/>
        <v>1.7850562780122152</v>
      </c>
      <c r="BC91" s="179">
        <f t="shared" si="125"/>
        <v>0.86723984173426782</v>
      </c>
      <c r="BD91" s="179"/>
      <c r="BE91" s="546">
        <f t="shared" si="126"/>
        <v>8.2094723244019063E-2</v>
      </c>
      <c r="BF91" s="546">
        <f t="shared" si="127"/>
        <v>9.5399999999999971E-2</v>
      </c>
      <c r="BG91" s="546">
        <f t="shared" si="128"/>
        <v>2.9988318600352175E-3</v>
      </c>
      <c r="BH91" s="546">
        <f t="shared" si="129"/>
        <v>1.9096681237978669E-2</v>
      </c>
      <c r="BI91">
        <f t="shared" si="130"/>
        <v>6.96E-3</v>
      </c>
      <c r="BJ91">
        <f t="shared" si="131"/>
        <v>0.22400503113402417</v>
      </c>
      <c r="BK91" s="472">
        <f t="shared" si="150"/>
        <v>224.00503113402416</v>
      </c>
      <c r="BL91" s="179">
        <f t="shared" si="132"/>
        <v>0.33368000000000003</v>
      </c>
      <c r="BM91" s="179">
        <f t="shared" si="133"/>
        <v>0.16684000000000002</v>
      </c>
      <c r="BN91" s="546"/>
      <c r="BP91" s="472">
        <f t="shared" si="151"/>
        <v>500.5200000000001</v>
      </c>
      <c r="BQ91" s="546">
        <f t="shared" si="134"/>
        <v>4.691127042515375E-2</v>
      </c>
      <c r="BR91" s="546">
        <f t="shared" si="135"/>
        <v>0.12745703662683291</v>
      </c>
      <c r="BS91" s="546">
        <f t="shared" si="136"/>
        <v>7.5210494309127796E-2</v>
      </c>
      <c r="BT91" s="546">
        <f t="shared" si="137"/>
        <v>9.0730967801936152E-2</v>
      </c>
      <c r="BU91" s="546">
        <f t="shared" si="138"/>
        <v>0.37780254584993667</v>
      </c>
      <c r="BV91" s="655">
        <f t="shared" si="139"/>
        <v>4.2362962962962956E-2</v>
      </c>
      <c r="BW91" s="472">
        <f t="shared" si="152"/>
        <v>420.16550881289959</v>
      </c>
      <c r="BX91" s="179">
        <f t="shared" si="153"/>
        <v>1.1446905399469238</v>
      </c>
      <c r="BY91" s="6">
        <f t="shared" si="154"/>
        <v>5.7189999999999994</v>
      </c>
      <c r="BZ91" s="179">
        <f t="shared" si="155"/>
        <v>0.83322521123515347</v>
      </c>
      <c r="CA91" s="6">
        <f t="shared" si="156"/>
        <v>83.322521123515344</v>
      </c>
      <c r="CB91">
        <f t="shared" si="157"/>
        <v>86</v>
      </c>
      <c r="CD91" s="581">
        <f t="shared" si="140"/>
        <v>-50</v>
      </c>
      <c r="CE91">
        <f t="shared" si="141"/>
        <v>-50</v>
      </c>
    </row>
    <row r="92" spans="5:83" x14ac:dyDescent="0.2">
      <c r="E92" s="176">
        <v>87</v>
      </c>
      <c r="F92" s="223">
        <f t="shared" si="158"/>
        <v>0.87</v>
      </c>
      <c r="G92" s="223">
        <f t="shared" si="142"/>
        <v>0.435</v>
      </c>
      <c r="H92" s="223">
        <f t="shared" si="95"/>
        <v>4.3499999999999996</v>
      </c>
      <c r="I92" s="223">
        <f t="shared" si="159"/>
        <v>1.4355</v>
      </c>
      <c r="J92" s="559">
        <f t="shared" si="96"/>
        <v>24</v>
      </c>
      <c r="K92" s="454">
        <f t="shared" si="97"/>
        <v>15.899999999999999</v>
      </c>
      <c r="L92" s="454">
        <f t="shared" si="98"/>
        <v>39.9</v>
      </c>
      <c r="M92" s="454"/>
      <c r="N92" s="223">
        <f t="shared" si="99"/>
        <v>0.39849624060150374</v>
      </c>
      <c r="O92" s="178">
        <f t="shared" si="143"/>
        <v>4.8538639832664359</v>
      </c>
      <c r="P92" s="178">
        <f t="shared" si="100"/>
        <v>2.1303609022556387</v>
      </c>
      <c r="Q92" s="223">
        <f t="shared" si="101"/>
        <v>0.9707727966532872</v>
      </c>
      <c r="R92" s="223">
        <f t="shared" si="102"/>
        <v>1.4708678737171019</v>
      </c>
      <c r="S92" s="454">
        <f t="shared" si="103"/>
        <v>5</v>
      </c>
      <c r="T92" s="223">
        <f t="shared" si="104"/>
        <v>1.3442898322851151</v>
      </c>
      <c r="U92" s="223">
        <f t="shared" si="105"/>
        <v>1.6803622903563937</v>
      </c>
      <c r="V92" s="223">
        <f t="shared" si="106"/>
        <v>2.5363959099719153</v>
      </c>
      <c r="W92" s="203">
        <f t="shared" si="107"/>
        <v>350</v>
      </c>
      <c r="X92" s="454">
        <f t="shared" si="144"/>
        <v>237.14900226485403</v>
      </c>
      <c r="Z92" s="223">
        <f t="shared" si="108"/>
        <v>0.91084854994629427</v>
      </c>
      <c r="AA92" s="179">
        <f t="shared" si="109"/>
        <v>1.7185821697099894</v>
      </c>
      <c r="AB92" s="179">
        <f t="shared" si="110"/>
        <v>0.82181824055304764</v>
      </c>
      <c r="AC92" s="179"/>
      <c r="AD92" s="179">
        <f t="shared" si="111"/>
        <v>0.5660377358490567</v>
      </c>
      <c r="AE92" s="563">
        <f t="shared" si="112"/>
        <v>3415.5555555555557</v>
      </c>
      <c r="AF92" s="546">
        <f t="shared" si="113"/>
        <v>8.9150943396226423E-2</v>
      </c>
      <c r="AH92" s="179">
        <f t="shared" si="114"/>
        <v>1.0497618777608566</v>
      </c>
      <c r="AI92" s="179">
        <f t="shared" si="115"/>
        <v>1.3442898322851151</v>
      </c>
      <c r="AJ92" s="179">
        <f t="shared" si="116"/>
        <v>1.9735480239148999</v>
      </c>
      <c r="AL92" s="563">
        <f t="shared" si="117"/>
        <v>870</v>
      </c>
      <c r="AM92" s="472">
        <f t="shared" si="118"/>
        <v>237.14900226485403</v>
      </c>
      <c r="AO92">
        <f t="shared" si="145"/>
        <v>870</v>
      </c>
      <c r="AP92">
        <f t="shared" si="119"/>
        <v>237.14900226485403</v>
      </c>
      <c r="AR92" s="6">
        <f t="shared" si="146"/>
        <v>4.2167582003283091</v>
      </c>
      <c r="AS92" s="6">
        <f t="shared" si="120"/>
        <v>1.6803622903563937</v>
      </c>
      <c r="AT92" s="6">
        <f t="shared" si="147"/>
        <v>2.5363959099719153</v>
      </c>
      <c r="AU92" s="179">
        <f t="shared" si="148"/>
        <v>0.39849624060150374</v>
      </c>
      <c r="AW92" s="6">
        <f t="shared" si="121"/>
        <v>29.238303852201255</v>
      </c>
      <c r="AX92" s="6">
        <f t="shared" si="122"/>
        <v>22.150230191061556</v>
      </c>
      <c r="AY92" s="6">
        <f t="shared" si="123"/>
        <v>0.42566829507630516</v>
      </c>
      <c r="AZ92" s="6"/>
      <c r="BA92" s="179">
        <f t="shared" si="149"/>
        <v>0.4899416954693997</v>
      </c>
      <c r="BB92" s="179">
        <f t="shared" si="124"/>
        <v>1.8058127463611939</v>
      </c>
      <c r="BC92" s="179">
        <f t="shared" si="125"/>
        <v>0.87732402594048009</v>
      </c>
      <c r="BD92" s="179"/>
      <c r="BE92" s="546">
        <f t="shared" si="126"/>
        <v>8.4015002735800495E-2</v>
      </c>
      <c r="BF92" s="546">
        <f t="shared" si="127"/>
        <v>9.5399999999999985E-2</v>
      </c>
      <c r="BG92" s="546">
        <f t="shared" si="128"/>
        <v>2.9643625283106751E-3</v>
      </c>
      <c r="BH92" s="546">
        <f t="shared" si="129"/>
        <v>1.8877179154783513E-2</v>
      </c>
      <c r="BI92">
        <f t="shared" si="130"/>
        <v>6.96E-3</v>
      </c>
      <c r="BJ92">
        <f t="shared" si="131"/>
        <v>0.22614182946311195</v>
      </c>
      <c r="BK92" s="472">
        <f t="shared" si="150"/>
        <v>226.14182946311195</v>
      </c>
      <c r="BL92" s="179">
        <f t="shared" si="132"/>
        <v>0.33756000000000003</v>
      </c>
      <c r="BM92" s="179">
        <f t="shared" si="133"/>
        <v>0.16878000000000001</v>
      </c>
      <c r="BN92" s="546"/>
      <c r="BP92" s="472">
        <f t="shared" si="151"/>
        <v>506.34000000000003</v>
      </c>
      <c r="BQ92" s="546">
        <f t="shared" si="134"/>
        <v>4.8008572991886003E-2</v>
      </c>
      <c r="BR92" s="546">
        <f t="shared" si="135"/>
        <v>0.13043838699682231</v>
      </c>
      <c r="BS92" s="546">
        <f t="shared" si="136"/>
        <v>7.6969744649241223E-2</v>
      </c>
      <c r="BT92" s="546">
        <f t="shared" si="137"/>
        <v>9.0730967801936208E-2</v>
      </c>
      <c r="BU92" s="546">
        <f t="shared" si="138"/>
        <v>0.38465751335445764</v>
      </c>
      <c r="BV92" s="655">
        <f t="shared" si="139"/>
        <v>4.2855555555555556E-2</v>
      </c>
      <c r="BW92" s="472">
        <f t="shared" si="152"/>
        <v>427.51306891001315</v>
      </c>
      <c r="BX92" s="179">
        <f t="shared" si="153"/>
        <v>1.1599948983731254</v>
      </c>
      <c r="BY92" s="6">
        <f t="shared" si="154"/>
        <v>5.7854999999999999</v>
      </c>
      <c r="BZ92" s="179">
        <f t="shared" si="155"/>
        <v>0.83298599806835416</v>
      </c>
      <c r="CA92" s="6">
        <f t="shared" si="156"/>
        <v>83.298599806835412</v>
      </c>
      <c r="CB92">
        <f t="shared" si="157"/>
        <v>87</v>
      </c>
      <c r="CD92" s="581">
        <f t="shared" si="140"/>
        <v>-50</v>
      </c>
      <c r="CE92">
        <f t="shared" si="141"/>
        <v>-50</v>
      </c>
    </row>
    <row r="93" spans="5:83" x14ac:dyDescent="0.2">
      <c r="E93" s="176">
        <v>88</v>
      </c>
      <c r="F93" s="223">
        <f t="shared" si="158"/>
        <v>0.88</v>
      </c>
      <c r="G93" s="223">
        <f t="shared" si="142"/>
        <v>0.44</v>
      </c>
      <c r="H93" s="223">
        <f t="shared" si="95"/>
        <v>4.4000000000000004</v>
      </c>
      <c r="I93" s="223">
        <f t="shared" si="159"/>
        <v>1.452</v>
      </c>
      <c r="J93" s="559">
        <f t="shared" si="96"/>
        <v>24</v>
      </c>
      <c r="K93" s="454">
        <f t="shared" si="97"/>
        <v>15.899999999999999</v>
      </c>
      <c r="L93" s="454">
        <f t="shared" si="98"/>
        <v>39.9</v>
      </c>
      <c r="M93" s="454"/>
      <c r="N93" s="223">
        <f t="shared" si="99"/>
        <v>0.39849624060150374</v>
      </c>
      <c r="O93" s="178">
        <f t="shared" si="143"/>
        <v>4.8538639832664359</v>
      </c>
      <c r="P93" s="178">
        <f t="shared" si="100"/>
        <v>2.1303609022556387</v>
      </c>
      <c r="Q93" s="223">
        <f t="shared" si="101"/>
        <v>0.9707727966532872</v>
      </c>
      <c r="R93" s="223">
        <f t="shared" si="102"/>
        <v>1.4708678737171019</v>
      </c>
      <c r="S93" s="454">
        <f t="shared" si="103"/>
        <v>5</v>
      </c>
      <c r="T93" s="223">
        <f t="shared" si="104"/>
        <v>1.3597414395527603</v>
      </c>
      <c r="U93" s="223">
        <f t="shared" si="105"/>
        <v>1.6996767994409503</v>
      </c>
      <c r="V93" s="223">
        <f t="shared" si="106"/>
        <v>2.5655498859486041</v>
      </c>
      <c r="W93" s="203">
        <f t="shared" si="107"/>
        <v>350</v>
      </c>
      <c r="X93" s="454">
        <f t="shared" si="144"/>
        <v>234.45412723911704</v>
      </c>
      <c r="Z93" s="223">
        <f t="shared" si="108"/>
        <v>0.91084854994629427</v>
      </c>
      <c r="AA93" s="179">
        <f t="shared" si="109"/>
        <v>1.7185821697099894</v>
      </c>
      <c r="AB93" s="179">
        <f t="shared" si="110"/>
        <v>0.82181824055304764</v>
      </c>
      <c r="AC93" s="179"/>
      <c r="AD93" s="179">
        <f t="shared" si="111"/>
        <v>0.5660377358490567</v>
      </c>
      <c r="AE93" s="563">
        <f t="shared" si="112"/>
        <v>3454.8148148148148</v>
      </c>
      <c r="AF93" s="546">
        <f t="shared" si="113"/>
        <v>8.9150943396226423E-2</v>
      </c>
      <c r="AH93" s="179">
        <f t="shared" si="114"/>
        <v>1.0557777543908882</v>
      </c>
      <c r="AI93" s="179">
        <f t="shared" si="115"/>
        <v>1.3597414395527603</v>
      </c>
      <c r="AJ93" s="179">
        <f t="shared" si="116"/>
        <v>1.9849936589279704</v>
      </c>
      <c r="AL93" s="563">
        <f t="shared" si="117"/>
        <v>880</v>
      </c>
      <c r="AM93" s="472">
        <f t="shared" si="118"/>
        <v>234.45412723911704</v>
      </c>
      <c r="AO93">
        <f t="shared" si="145"/>
        <v>880</v>
      </c>
      <c r="AP93">
        <f t="shared" si="119"/>
        <v>234.45412723911704</v>
      </c>
      <c r="AR93" s="6">
        <f t="shared" si="146"/>
        <v>4.2652266853895542</v>
      </c>
      <c r="AS93" s="6">
        <f t="shared" si="120"/>
        <v>1.6996767994409503</v>
      </c>
      <c r="AT93" s="6">
        <f t="shared" si="147"/>
        <v>2.5655498859486041</v>
      </c>
      <c r="AU93" s="179">
        <f t="shared" si="148"/>
        <v>0.39849624060150379</v>
      </c>
      <c r="AW93" s="6">
        <f t="shared" si="121"/>
        <v>29.914311670160725</v>
      </c>
      <c r="AX93" s="6">
        <f t="shared" si="122"/>
        <v>22.662357325879338</v>
      </c>
      <c r="AY93" s="6">
        <f t="shared" si="123"/>
        <v>0.43551001150362101</v>
      </c>
      <c r="AZ93" s="6"/>
      <c r="BA93" s="179">
        <f t="shared" si="149"/>
        <v>0.49557320921042741</v>
      </c>
      <c r="BB93" s="179">
        <f t="shared" si="124"/>
        <v>1.8265692147101737</v>
      </c>
      <c r="BC93" s="179">
        <f t="shared" si="125"/>
        <v>0.88740821014669258</v>
      </c>
      <c r="BD93" s="179"/>
      <c r="BE93" s="546">
        <f t="shared" si="126"/>
        <v>8.5957481990492718E-2</v>
      </c>
      <c r="BF93" s="546">
        <f t="shared" si="127"/>
        <v>9.5399999999999999E-2</v>
      </c>
      <c r="BG93" s="546">
        <f t="shared" si="128"/>
        <v>2.930676590488963E-3</v>
      </c>
      <c r="BH93" s="546">
        <f t="shared" si="129"/>
        <v>1.8662665755297337E-2</v>
      </c>
      <c r="BI93">
        <f t="shared" si="130"/>
        <v>6.96E-3</v>
      </c>
      <c r="BJ93">
        <f t="shared" si="131"/>
        <v>0.22831528801993684</v>
      </c>
      <c r="BK93" s="472">
        <f t="shared" si="150"/>
        <v>228.31528801993684</v>
      </c>
      <c r="BL93" s="179">
        <f t="shared" si="132"/>
        <v>0.34144000000000002</v>
      </c>
      <c r="BM93" s="179">
        <f t="shared" si="133"/>
        <v>0.17072000000000001</v>
      </c>
      <c r="BN93" s="546"/>
      <c r="BP93" s="472">
        <f t="shared" si="151"/>
        <v>512.16000000000008</v>
      </c>
      <c r="BQ93" s="546">
        <f t="shared" si="134"/>
        <v>4.911856113742441E-2</v>
      </c>
      <c r="BR93" s="546">
        <f t="shared" si="135"/>
        <v>0.13345420384507764</v>
      </c>
      <c r="BS93" s="546">
        <f t="shared" si="136"/>
        <v>7.8749333143575656E-2</v>
      </c>
      <c r="BT93" s="546">
        <f t="shared" si="137"/>
        <v>9.0730967801936069E-2</v>
      </c>
      <c r="BU93" s="546">
        <f t="shared" si="138"/>
        <v>0.39159838257982627</v>
      </c>
      <c r="BV93" s="655">
        <f t="shared" si="139"/>
        <v>4.3348148148148163E-2</v>
      </c>
      <c r="BW93" s="472">
        <f t="shared" si="152"/>
        <v>434.94653072797439</v>
      </c>
      <c r="BX93" s="179">
        <f t="shared" si="153"/>
        <v>1.1754218187479111</v>
      </c>
      <c r="BY93" s="6">
        <f t="shared" si="154"/>
        <v>5.8520000000000003</v>
      </c>
      <c r="BZ93" s="179">
        <f t="shared" si="155"/>
        <v>0.83273783059213913</v>
      </c>
      <c r="CA93" s="6">
        <f t="shared" si="156"/>
        <v>83.273783059213912</v>
      </c>
      <c r="CB93">
        <f t="shared" si="157"/>
        <v>88</v>
      </c>
      <c r="CD93" s="581">
        <f t="shared" si="140"/>
        <v>-50</v>
      </c>
      <c r="CE93">
        <f t="shared" si="141"/>
        <v>-50</v>
      </c>
    </row>
    <row r="94" spans="5:83" x14ac:dyDescent="0.2">
      <c r="E94" s="176">
        <v>89</v>
      </c>
      <c r="F94" s="223">
        <f t="shared" si="158"/>
        <v>0.89</v>
      </c>
      <c r="G94" s="223">
        <f t="shared" si="142"/>
        <v>0.44500000000000001</v>
      </c>
      <c r="H94" s="223">
        <f t="shared" si="95"/>
        <v>4.45</v>
      </c>
      <c r="I94" s="223">
        <f t="shared" si="159"/>
        <v>1.4684999999999999</v>
      </c>
      <c r="J94" s="559">
        <f t="shared" si="96"/>
        <v>24</v>
      </c>
      <c r="K94" s="454">
        <f t="shared" si="97"/>
        <v>15.899999999999999</v>
      </c>
      <c r="L94" s="454">
        <f t="shared" si="98"/>
        <v>39.9</v>
      </c>
      <c r="M94" s="454"/>
      <c r="N94" s="223">
        <f t="shared" si="99"/>
        <v>0.39849624060150374</v>
      </c>
      <c r="O94" s="178">
        <f t="shared" si="143"/>
        <v>4.8538639832664359</v>
      </c>
      <c r="P94" s="178">
        <f t="shared" si="100"/>
        <v>2.1303609022556387</v>
      </c>
      <c r="Q94" s="223">
        <f t="shared" si="101"/>
        <v>0.9707727966532872</v>
      </c>
      <c r="R94" s="223">
        <f t="shared" si="102"/>
        <v>1.4708678737171019</v>
      </c>
      <c r="S94" s="454">
        <f t="shared" si="103"/>
        <v>5</v>
      </c>
      <c r="T94" s="223">
        <f t="shared" si="104"/>
        <v>1.3751930468204052</v>
      </c>
      <c r="U94" s="223">
        <f t="shared" si="105"/>
        <v>1.7189913085255064</v>
      </c>
      <c r="V94" s="223">
        <f t="shared" si="106"/>
        <v>2.5947038619252929</v>
      </c>
      <c r="W94" s="203">
        <f t="shared" si="107"/>
        <v>350</v>
      </c>
      <c r="X94" s="454">
        <f t="shared" si="144"/>
        <v>231.81981120272246</v>
      </c>
      <c r="Z94" s="223">
        <f t="shared" si="108"/>
        <v>0.91084854994629427</v>
      </c>
      <c r="AA94" s="179">
        <f t="shared" si="109"/>
        <v>1.7185821697099894</v>
      </c>
      <c r="AB94" s="179">
        <f t="shared" si="110"/>
        <v>0.82181824055304764</v>
      </c>
      <c r="AC94" s="179"/>
      <c r="AD94" s="179">
        <f t="shared" si="111"/>
        <v>0.5660377358490567</v>
      </c>
      <c r="AE94" s="563">
        <f t="shared" si="112"/>
        <v>3494.0740740740739</v>
      </c>
      <c r="AF94" s="546">
        <f t="shared" si="113"/>
        <v>8.9150943396226423E-2</v>
      </c>
      <c r="AH94" s="179">
        <f t="shared" si="114"/>
        <v>1.0617595459110944</v>
      </c>
      <c r="AI94" s="179">
        <f t="shared" si="115"/>
        <v>1.3751930468204052</v>
      </c>
      <c r="AJ94" s="179">
        <f t="shared" si="116"/>
        <v>1.9964392939410409</v>
      </c>
      <c r="AL94" s="563">
        <f t="shared" si="117"/>
        <v>890</v>
      </c>
      <c r="AM94" s="472">
        <f t="shared" si="118"/>
        <v>231.81981120272246</v>
      </c>
      <c r="AO94">
        <f t="shared" si="145"/>
        <v>890</v>
      </c>
      <c r="AP94">
        <f t="shared" si="119"/>
        <v>231.81981120272246</v>
      </c>
      <c r="AR94" s="6">
        <f t="shared" si="146"/>
        <v>4.3136951704507993</v>
      </c>
      <c r="AS94" s="6">
        <f t="shared" si="120"/>
        <v>1.7189913085255064</v>
      </c>
      <c r="AT94" s="6">
        <f t="shared" si="147"/>
        <v>2.5947038619252929</v>
      </c>
      <c r="AU94" s="179">
        <f t="shared" si="148"/>
        <v>0.39849624060150374</v>
      </c>
      <c r="AW94" s="6">
        <f t="shared" si="121"/>
        <v>30.598045291754016</v>
      </c>
      <c r="AX94" s="6">
        <f t="shared" si="122"/>
        <v>23.180337342237891</v>
      </c>
      <c r="AY94" s="6">
        <f t="shared" si="123"/>
        <v>0.44546420469010611</v>
      </c>
      <c r="AZ94" s="6"/>
      <c r="BA94" s="179">
        <f t="shared" si="149"/>
        <v>0.50120472295145491</v>
      </c>
      <c r="BB94" s="179">
        <f t="shared" si="124"/>
        <v>1.8473256830591529</v>
      </c>
      <c r="BC94" s="179">
        <f t="shared" si="125"/>
        <v>0.89749239435290495</v>
      </c>
      <c r="BD94" s="179"/>
      <c r="BE94" s="546">
        <f t="shared" si="126"/>
        <v>8.7922161008095634E-2</v>
      </c>
      <c r="BF94" s="546">
        <f t="shared" si="127"/>
        <v>9.5399999999999985E-2</v>
      </c>
      <c r="BG94" s="546">
        <f t="shared" si="128"/>
        <v>2.8977476400340305E-3</v>
      </c>
      <c r="BH94" s="546">
        <f t="shared" si="129"/>
        <v>1.8452972881642309E-2</v>
      </c>
      <c r="BI94">
        <f t="shared" si="130"/>
        <v>6.96E-3</v>
      </c>
      <c r="BJ94">
        <f t="shared" si="131"/>
        <v>0.2305253342092127</v>
      </c>
      <c r="BK94" s="472">
        <f t="shared" si="150"/>
        <v>230.5253342092127</v>
      </c>
      <c r="BL94" s="179">
        <f t="shared" si="132"/>
        <v>0.34532000000000002</v>
      </c>
      <c r="BM94" s="179">
        <f t="shared" si="133"/>
        <v>0.17266000000000001</v>
      </c>
      <c r="BN94" s="546"/>
      <c r="BP94" s="472">
        <f t="shared" si="151"/>
        <v>517.98</v>
      </c>
      <c r="BQ94" s="546">
        <f t="shared" si="134"/>
        <v>5.0241234861768937E-2</v>
      </c>
      <c r="BR94" s="546">
        <f t="shared" si="135"/>
        <v>0.13650448717159863</v>
      </c>
      <c r="BS94" s="546">
        <f t="shared" si="136"/>
        <v>8.0549259792131025E-2</v>
      </c>
      <c r="BT94" s="546">
        <f t="shared" si="137"/>
        <v>9.0730967801936291E-2</v>
      </c>
      <c r="BU94" s="546">
        <f t="shared" si="138"/>
        <v>0.39862539281674553</v>
      </c>
      <c r="BV94" s="655">
        <f t="shared" si="139"/>
        <v>4.3840740740740743E-2</v>
      </c>
      <c r="BW94" s="472">
        <f t="shared" si="152"/>
        <v>442.46613355748627</v>
      </c>
      <c r="BX94" s="179">
        <f t="shared" si="153"/>
        <v>1.1909714677666992</v>
      </c>
      <c r="BY94" s="6">
        <f t="shared" si="154"/>
        <v>5.9184999999999999</v>
      </c>
      <c r="BZ94" s="179">
        <f t="shared" si="155"/>
        <v>0.83248101168048994</v>
      </c>
      <c r="CA94" s="6">
        <f t="shared" si="156"/>
        <v>83.24810116804899</v>
      </c>
      <c r="CB94">
        <f t="shared" si="157"/>
        <v>89</v>
      </c>
      <c r="CD94" s="581">
        <f t="shared" si="140"/>
        <v>-50</v>
      </c>
      <c r="CE94">
        <f t="shared" si="141"/>
        <v>-50</v>
      </c>
    </row>
    <row r="95" spans="5:83" x14ac:dyDescent="0.2">
      <c r="E95" s="176">
        <v>90</v>
      </c>
      <c r="F95" s="223">
        <f t="shared" si="158"/>
        <v>0.9</v>
      </c>
      <c r="G95" s="223">
        <f t="shared" si="142"/>
        <v>0.45</v>
      </c>
      <c r="H95" s="223">
        <f t="shared" si="95"/>
        <v>4.5</v>
      </c>
      <c r="I95" s="223">
        <f t="shared" si="159"/>
        <v>1.4849999999999999</v>
      </c>
      <c r="J95" s="559">
        <f t="shared" si="96"/>
        <v>24</v>
      </c>
      <c r="K95" s="454">
        <f t="shared" si="97"/>
        <v>15.899999999999999</v>
      </c>
      <c r="L95" s="454">
        <f t="shared" si="98"/>
        <v>39.9</v>
      </c>
      <c r="M95" s="454"/>
      <c r="N95" s="223">
        <f t="shared" si="99"/>
        <v>0.39849624060150374</v>
      </c>
      <c r="O95" s="178">
        <f t="shared" si="143"/>
        <v>4.8538639832664359</v>
      </c>
      <c r="P95" s="178">
        <f t="shared" si="100"/>
        <v>2.1303609022556387</v>
      </c>
      <c r="Q95" s="223">
        <f t="shared" si="101"/>
        <v>0.9707727966532872</v>
      </c>
      <c r="R95" s="223">
        <f t="shared" si="102"/>
        <v>1.4708678737171019</v>
      </c>
      <c r="S95" s="454">
        <f t="shared" si="103"/>
        <v>5</v>
      </c>
      <c r="T95" s="223">
        <f t="shared" si="104"/>
        <v>1.3906446540880502</v>
      </c>
      <c r="U95" s="223">
        <f t="shared" si="105"/>
        <v>1.7383058176100628</v>
      </c>
      <c r="V95" s="223">
        <f t="shared" si="106"/>
        <v>2.6238578379019817</v>
      </c>
      <c r="W95" s="203">
        <f t="shared" si="107"/>
        <v>350</v>
      </c>
      <c r="X95" s="454">
        <f t="shared" si="144"/>
        <v>229.2440355226922</v>
      </c>
      <c r="Z95" s="223">
        <f t="shared" si="108"/>
        <v>0.91084854994629427</v>
      </c>
      <c r="AA95" s="179">
        <f t="shared" si="109"/>
        <v>1.7185821697099894</v>
      </c>
      <c r="AB95" s="179">
        <f t="shared" si="110"/>
        <v>0.82181824055304764</v>
      </c>
      <c r="AC95" s="179"/>
      <c r="AD95" s="179">
        <f t="shared" si="111"/>
        <v>0.5660377358490567</v>
      </c>
      <c r="AE95" s="563">
        <f t="shared" si="112"/>
        <v>3533.333333333333</v>
      </c>
      <c r="AF95" s="546">
        <f t="shared" si="113"/>
        <v>8.9150943396226423E-2</v>
      </c>
      <c r="AH95" s="179">
        <f t="shared" si="114"/>
        <v>1.0677078252031311</v>
      </c>
      <c r="AI95" s="179">
        <f t="shared" si="115"/>
        <v>1.3906446540880502</v>
      </c>
      <c r="AJ95" s="179">
        <f t="shared" si="116"/>
        <v>2.0078849289541112</v>
      </c>
      <c r="AL95" s="563">
        <f t="shared" si="117"/>
        <v>900</v>
      </c>
      <c r="AM95" s="472">
        <f t="shared" si="118"/>
        <v>229.2440355226922</v>
      </c>
      <c r="AO95">
        <f t="shared" si="145"/>
        <v>900</v>
      </c>
      <c r="AP95">
        <f t="shared" si="119"/>
        <v>229.2440355226922</v>
      </c>
      <c r="AR95" s="6">
        <f t="shared" si="146"/>
        <v>4.3621636555120444</v>
      </c>
      <c r="AS95" s="6">
        <f t="shared" si="120"/>
        <v>1.7383058176100628</v>
      </c>
      <c r="AT95" s="6">
        <f t="shared" si="147"/>
        <v>2.6238578379019817</v>
      </c>
      <c r="AU95" s="179">
        <f t="shared" si="148"/>
        <v>0.39849624060150374</v>
      </c>
      <c r="AW95" s="6">
        <f t="shared" si="121"/>
        <v>31.289504716981131</v>
      </c>
      <c r="AX95" s="6">
        <f t="shared" si="122"/>
        <v>23.70417024013722</v>
      </c>
      <c r="AY95" s="6">
        <f t="shared" si="123"/>
        <v>0.4555308746357607</v>
      </c>
      <c r="AZ95" s="6"/>
      <c r="BA95" s="179">
        <f t="shared" si="149"/>
        <v>0.50683623669248246</v>
      </c>
      <c r="BB95" s="179">
        <f t="shared" si="124"/>
        <v>1.8680821514081318</v>
      </c>
      <c r="BC95" s="179">
        <f t="shared" si="125"/>
        <v>0.90757657855911733</v>
      </c>
      <c r="BD95" s="179"/>
      <c r="BE95" s="546">
        <f t="shared" si="126"/>
        <v>8.9909039788609327E-2</v>
      </c>
      <c r="BF95" s="546">
        <f t="shared" si="127"/>
        <v>9.5399999999999971E-2</v>
      </c>
      <c r="BG95" s="546">
        <f t="shared" si="128"/>
        <v>2.8655504440336524E-3</v>
      </c>
      <c r="BH95" s="546">
        <f t="shared" si="129"/>
        <v>1.824793984962406E-2</v>
      </c>
      <c r="BI95">
        <f t="shared" si="130"/>
        <v>6.96E-3</v>
      </c>
      <c r="BJ95">
        <f t="shared" si="131"/>
        <v>0.23277190590107208</v>
      </c>
      <c r="BK95" s="472">
        <f t="shared" si="150"/>
        <v>232.77190590107207</v>
      </c>
      <c r="BL95" s="179">
        <f t="shared" si="132"/>
        <v>0.34920000000000001</v>
      </c>
      <c r="BM95" s="179">
        <f t="shared" si="133"/>
        <v>0.17460000000000001</v>
      </c>
      <c r="BN95" s="546"/>
      <c r="BP95" s="472">
        <f t="shared" si="151"/>
        <v>523.80000000000007</v>
      </c>
      <c r="BQ95" s="546">
        <f t="shared" si="134"/>
        <v>5.1376594164919624E-2</v>
      </c>
      <c r="BR95" s="546">
        <f t="shared" si="135"/>
        <v>0.13958923697638537</v>
      </c>
      <c r="BS95" s="546">
        <f t="shared" si="136"/>
        <v>8.2369524594907373E-2</v>
      </c>
      <c r="BT95" s="546">
        <f t="shared" si="137"/>
        <v>9.0730967801936166E-2</v>
      </c>
      <c r="BU95" s="546">
        <f t="shared" si="138"/>
        <v>0.4057387866738113</v>
      </c>
      <c r="BV95" s="655">
        <f t="shared" si="139"/>
        <v>4.4333333333333322E-2</v>
      </c>
      <c r="BW95" s="472">
        <f t="shared" si="152"/>
        <v>450.07212000714463</v>
      </c>
      <c r="BX95" s="179">
        <f t="shared" si="153"/>
        <v>1.2066440259082167</v>
      </c>
      <c r="BY95" s="6">
        <f t="shared" si="154"/>
        <v>5.9849999999999994</v>
      </c>
      <c r="BZ95" s="179">
        <f t="shared" si="155"/>
        <v>0.83221582970997621</v>
      </c>
      <c r="CA95" s="6">
        <f t="shared" si="156"/>
        <v>83.221582970997616</v>
      </c>
      <c r="CB95">
        <f t="shared" si="157"/>
        <v>90</v>
      </c>
      <c r="CD95" s="581">
        <f t="shared" si="140"/>
        <v>-50</v>
      </c>
      <c r="CE95">
        <f t="shared" si="141"/>
        <v>-50</v>
      </c>
    </row>
    <row r="96" spans="5:83" x14ac:dyDescent="0.2">
      <c r="E96" s="176">
        <v>91</v>
      </c>
      <c r="F96" s="223">
        <f t="shared" si="158"/>
        <v>0.91</v>
      </c>
      <c r="G96" s="223">
        <f t="shared" si="142"/>
        <v>0.45500000000000002</v>
      </c>
      <c r="H96" s="223">
        <f t="shared" si="95"/>
        <v>4.55</v>
      </c>
      <c r="I96" s="223">
        <f t="shared" si="159"/>
        <v>1.5015000000000001</v>
      </c>
      <c r="J96" s="559">
        <f t="shared" si="96"/>
        <v>24</v>
      </c>
      <c r="K96" s="454">
        <f t="shared" si="97"/>
        <v>15.899999999999999</v>
      </c>
      <c r="L96" s="454">
        <f t="shared" si="98"/>
        <v>39.9</v>
      </c>
      <c r="M96" s="454"/>
      <c r="N96" s="223">
        <f t="shared" si="99"/>
        <v>0.39849624060150374</v>
      </c>
      <c r="O96" s="178">
        <f t="shared" si="143"/>
        <v>4.8538639832664359</v>
      </c>
      <c r="P96" s="178">
        <f t="shared" si="100"/>
        <v>2.1303609022556387</v>
      </c>
      <c r="Q96" s="223">
        <f t="shared" si="101"/>
        <v>0.9707727966532872</v>
      </c>
      <c r="R96" s="223">
        <f t="shared" si="102"/>
        <v>1.4708678737171019</v>
      </c>
      <c r="S96" s="454">
        <f t="shared" si="103"/>
        <v>5</v>
      </c>
      <c r="T96" s="223">
        <f t="shared" si="104"/>
        <v>1.4060962613556953</v>
      </c>
      <c r="U96" s="223">
        <f t="shared" si="105"/>
        <v>1.7576203266946191</v>
      </c>
      <c r="V96" s="223">
        <f t="shared" si="106"/>
        <v>2.6530118138786709</v>
      </c>
      <c r="W96" s="203">
        <f t="shared" si="107"/>
        <v>350</v>
      </c>
      <c r="X96" s="454">
        <f t="shared" si="144"/>
        <v>226.72487029716811</v>
      </c>
      <c r="Z96" s="223">
        <f t="shared" si="108"/>
        <v>0.91084854994629427</v>
      </c>
      <c r="AA96" s="179">
        <f t="shared" si="109"/>
        <v>1.7185821697099894</v>
      </c>
      <c r="AB96" s="179">
        <f t="shared" si="110"/>
        <v>0.82181824055304764</v>
      </c>
      <c r="AC96" s="179"/>
      <c r="AD96" s="179">
        <f t="shared" si="111"/>
        <v>0.5660377358490567</v>
      </c>
      <c r="AE96" s="563">
        <f t="shared" si="112"/>
        <v>3572.5925925925922</v>
      </c>
      <c r="AF96" s="546">
        <f t="shared" si="113"/>
        <v>8.9150943396226423E-2</v>
      </c>
      <c r="AH96" s="179">
        <f t="shared" si="114"/>
        <v>1.0736231492784918</v>
      </c>
      <c r="AI96" s="179">
        <f t="shared" si="115"/>
        <v>1.4060962613556953</v>
      </c>
      <c r="AJ96" s="179">
        <f t="shared" si="116"/>
        <v>2.0193305639671815</v>
      </c>
      <c r="AL96" s="563">
        <f t="shared" si="117"/>
        <v>910</v>
      </c>
      <c r="AM96" s="472">
        <f t="shared" si="118"/>
        <v>226.72487029716811</v>
      </c>
      <c r="AO96">
        <f t="shared" si="145"/>
        <v>910</v>
      </c>
      <c r="AP96">
        <f t="shared" si="119"/>
        <v>226.72487029716811</v>
      </c>
      <c r="AR96" s="6">
        <f t="shared" si="146"/>
        <v>4.4106321405732896</v>
      </c>
      <c r="AS96" s="6">
        <f t="shared" si="120"/>
        <v>1.7576203266946191</v>
      </c>
      <c r="AT96" s="6">
        <f t="shared" si="147"/>
        <v>2.6530118138786705</v>
      </c>
      <c r="AU96" s="179">
        <f t="shared" si="148"/>
        <v>0.39849624060150374</v>
      </c>
      <c r="AW96" s="6">
        <f t="shared" si="121"/>
        <v>31.988689945842072</v>
      </c>
      <c r="AX96" s="6">
        <f t="shared" si="122"/>
        <v>24.233856019577328</v>
      </c>
      <c r="AY96" s="6">
        <f t="shared" si="123"/>
        <v>0.46571002134058442</v>
      </c>
      <c r="AZ96" s="6"/>
      <c r="BA96" s="179">
        <f t="shared" si="149"/>
        <v>0.51246775043351012</v>
      </c>
      <c r="BB96" s="179">
        <f t="shared" si="124"/>
        <v>1.8888386197571114</v>
      </c>
      <c r="BC96" s="179">
        <f t="shared" si="125"/>
        <v>0.91766076276532982</v>
      </c>
      <c r="BD96" s="179"/>
      <c r="BE96" s="546">
        <f t="shared" si="126"/>
        <v>9.1918118332033852E-2</v>
      </c>
      <c r="BF96" s="546">
        <f t="shared" si="127"/>
        <v>9.5399999999999985E-2</v>
      </c>
      <c r="BG96" s="546">
        <f t="shared" si="128"/>
        <v>2.8340608787146013E-3</v>
      </c>
      <c r="BH96" s="546">
        <f t="shared" si="129"/>
        <v>1.8047413038089728E-2</v>
      </c>
      <c r="BI96">
        <f t="shared" si="130"/>
        <v>6.96E-3</v>
      </c>
      <c r="BJ96">
        <f t="shared" si="131"/>
        <v>0.23505495097216628</v>
      </c>
      <c r="BK96" s="472">
        <f t="shared" si="150"/>
        <v>235.05495097216627</v>
      </c>
      <c r="BL96" s="179">
        <f t="shared" si="132"/>
        <v>0.35308000000000006</v>
      </c>
      <c r="BM96" s="179">
        <f t="shared" si="133"/>
        <v>0.17654000000000003</v>
      </c>
      <c r="BN96" s="546"/>
      <c r="BP96" s="472">
        <f t="shared" si="151"/>
        <v>529.62000000000012</v>
      </c>
      <c r="BQ96" s="546">
        <f t="shared" si="134"/>
        <v>5.2524639046876487E-2</v>
      </c>
      <c r="BR96" s="546">
        <f t="shared" si="135"/>
        <v>0.14270845325943801</v>
      </c>
      <c r="BS96" s="546">
        <f t="shared" si="136"/>
        <v>8.4210127551904698E-2</v>
      </c>
      <c r="BT96" s="546">
        <f t="shared" si="137"/>
        <v>9.0730967801936332E-2</v>
      </c>
      <c r="BU96" s="546">
        <f t="shared" si="138"/>
        <v>0.41293881009902128</v>
      </c>
      <c r="BV96" s="655">
        <f t="shared" si="139"/>
        <v>4.4825925925925929E-2</v>
      </c>
      <c r="BW96" s="472">
        <f t="shared" si="152"/>
        <v>457.76473602494724</v>
      </c>
      <c r="BX96" s="179">
        <f t="shared" si="153"/>
        <v>1.2224396869971135</v>
      </c>
      <c r="BY96" s="6">
        <f t="shared" si="154"/>
        <v>6.0514999999999999</v>
      </c>
      <c r="BZ96" s="179">
        <f t="shared" si="155"/>
        <v>0.83194255938328088</v>
      </c>
      <c r="CA96" s="6">
        <f t="shared" si="156"/>
        <v>83.194255938328084</v>
      </c>
      <c r="CB96">
        <f t="shared" si="157"/>
        <v>91</v>
      </c>
      <c r="CD96" s="581">
        <f t="shared" si="140"/>
        <v>-50</v>
      </c>
      <c r="CE96">
        <f t="shared" si="141"/>
        <v>-50</v>
      </c>
    </row>
    <row r="97" spans="5:83" x14ac:dyDescent="0.2">
      <c r="E97" s="176">
        <v>92</v>
      </c>
      <c r="F97" s="223">
        <f t="shared" si="158"/>
        <v>0.92</v>
      </c>
      <c r="G97" s="223">
        <f t="shared" si="142"/>
        <v>0.46</v>
      </c>
      <c r="H97" s="223">
        <f t="shared" si="95"/>
        <v>4.6000000000000005</v>
      </c>
      <c r="I97" s="223">
        <f t="shared" si="159"/>
        <v>1.518</v>
      </c>
      <c r="J97" s="559">
        <f t="shared" si="96"/>
        <v>24</v>
      </c>
      <c r="K97" s="454">
        <f t="shared" si="97"/>
        <v>15.899999999999999</v>
      </c>
      <c r="L97" s="454">
        <f t="shared" si="98"/>
        <v>39.9</v>
      </c>
      <c r="M97" s="454"/>
      <c r="N97" s="223">
        <f t="shared" si="99"/>
        <v>0.39849624060150374</v>
      </c>
      <c r="O97" s="178">
        <f t="shared" si="143"/>
        <v>4.8538639832664359</v>
      </c>
      <c r="P97" s="178">
        <f t="shared" si="100"/>
        <v>2.1303609022556387</v>
      </c>
      <c r="Q97" s="223">
        <f t="shared" si="101"/>
        <v>0.9707727966532872</v>
      </c>
      <c r="R97" s="223">
        <f t="shared" si="102"/>
        <v>1.4708678737171019</v>
      </c>
      <c r="S97" s="454">
        <f t="shared" si="103"/>
        <v>5</v>
      </c>
      <c r="T97" s="223">
        <f t="shared" si="104"/>
        <v>1.4215478686233403</v>
      </c>
      <c r="U97" s="223">
        <f t="shared" si="105"/>
        <v>1.7769348357791754</v>
      </c>
      <c r="V97" s="223">
        <f t="shared" si="106"/>
        <v>2.6821657898553593</v>
      </c>
      <c r="W97" s="203">
        <f t="shared" si="107"/>
        <v>350</v>
      </c>
      <c r="X97" s="454">
        <f t="shared" si="144"/>
        <v>224.26046953306843</v>
      </c>
      <c r="Z97" s="223">
        <f t="shared" si="108"/>
        <v>0.91084854994629427</v>
      </c>
      <c r="AA97" s="179">
        <f t="shared" si="109"/>
        <v>1.7185821697099894</v>
      </c>
      <c r="AB97" s="179">
        <f t="shared" si="110"/>
        <v>0.82181824055304764</v>
      </c>
      <c r="AC97" s="179"/>
      <c r="AD97" s="179">
        <f t="shared" si="111"/>
        <v>0.5660377358490567</v>
      </c>
      <c r="AE97" s="563">
        <f t="shared" si="112"/>
        <v>3611.8518518518513</v>
      </c>
      <c r="AF97" s="546">
        <f t="shared" si="113"/>
        <v>8.9150943396226423E-2</v>
      </c>
      <c r="AH97" s="179">
        <f t="shared" si="114"/>
        <v>1.0795060598872677</v>
      </c>
      <c r="AI97" s="179">
        <f t="shared" si="115"/>
        <v>1.4215478686233403</v>
      </c>
      <c r="AJ97" s="179">
        <f t="shared" si="116"/>
        <v>2.0307761989802522</v>
      </c>
      <c r="AL97" s="563">
        <f t="shared" si="117"/>
        <v>920</v>
      </c>
      <c r="AM97" s="472">
        <f t="shared" si="118"/>
        <v>224.26046953306843</v>
      </c>
      <c r="AO97">
        <f t="shared" si="145"/>
        <v>920</v>
      </c>
      <c r="AP97">
        <f t="shared" si="119"/>
        <v>224.26046953306843</v>
      </c>
      <c r="AR97" s="6">
        <f t="shared" si="146"/>
        <v>4.4591006256345356</v>
      </c>
      <c r="AS97" s="6">
        <f t="shared" si="120"/>
        <v>1.7769348357791754</v>
      </c>
      <c r="AT97" s="6">
        <f t="shared" si="147"/>
        <v>2.6821657898553601</v>
      </c>
      <c r="AU97" s="179">
        <f t="shared" si="148"/>
        <v>0.39849624060150368</v>
      </c>
      <c r="AW97" s="6">
        <f t="shared" si="121"/>
        <v>32.695600978336827</v>
      </c>
      <c r="AX97" s="6">
        <f t="shared" si="122"/>
        <v>24.769394680558204</v>
      </c>
      <c r="AY97" s="6">
        <f t="shared" si="123"/>
        <v>0.47600164480457779</v>
      </c>
      <c r="AZ97" s="6"/>
      <c r="BA97" s="179">
        <f t="shared" si="149"/>
        <v>0.51809926417453755</v>
      </c>
      <c r="BB97" s="179">
        <f t="shared" si="124"/>
        <v>1.9095950881060906</v>
      </c>
      <c r="BC97" s="179">
        <f t="shared" si="125"/>
        <v>0.92774494697154231</v>
      </c>
      <c r="BD97" s="179"/>
      <c r="BE97" s="546">
        <f t="shared" si="126"/>
        <v>9.3949396638369029E-2</v>
      </c>
      <c r="BF97" s="546">
        <f t="shared" si="127"/>
        <v>9.5399999999999957E-2</v>
      </c>
      <c r="BG97" s="546">
        <f t="shared" si="128"/>
        <v>2.8032558691633552E-3</v>
      </c>
      <c r="BH97" s="546">
        <f t="shared" si="129"/>
        <v>1.7851245505067014E-2</v>
      </c>
      <c r="BI97">
        <f t="shared" si="130"/>
        <v>6.96E-3</v>
      </c>
      <c r="BJ97">
        <f t="shared" si="131"/>
        <v>0.23737442687803983</v>
      </c>
      <c r="BK97" s="472">
        <f t="shared" si="150"/>
        <v>237.37442687803983</v>
      </c>
      <c r="BL97" s="179">
        <f t="shared" si="132"/>
        <v>0.35696000000000006</v>
      </c>
      <c r="BM97" s="179">
        <f t="shared" si="133"/>
        <v>0.17848000000000003</v>
      </c>
      <c r="BN97" s="546"/>
      <c r="BP97" s="472">
        <f t="shared" si="151"/>
        <v>535.44000000000017</v>
      </c>
      <c r="BQ97" s="546">
        <f t="shared" si="134"/>
        <v>5.3685369507639448E-2</v>
      </c>
      <c r="BR97" s="546">
        <f t="shared" si="135"/>
        <v>0.14586213602075632</v>
      </c>
      <c r="BS97" s="546">
        <f t="shared" si="136"/>
        <v>8.6071068663122988E-2</v>
      </c>
      <c r="BT97" s="546">
        <f t="shared" si="137"/>
        <v>9.0730967801936124E-2</v>
      </c>
      <c r="BU97" s="546">
        <f t="shared" si="138"/>
        <v>0.42022571240161838</v>
      </c>
      <c r="BV97" s="655">
        <f t="shared" si="139"/>
        <v>4.5318518518518515E-2</v>
      </c>
      <c r="BW97" s="472">
        <f t="shared" si="152"/>
        <v>465.5442309201369</v>
      </c>
      <c r="BX97" s="179">
        <f t="shared" si="153"/>
        <v>1.2383586577981769</v>
      </c>
      <c r="BY97" s="6">
        <f t="shared" si="154"/>
        <v>6.1180000000000003</v>
      </c>
      <c r="BZ97" s="179">
        <f t="shared" si="155"/>
        <v>0.83166146249742146</v>
      </c>
      <c r="CA97" s="6">
        <f t="shared" si="156"/>
        <v>83.166146249742141</v>
      </c>
      <c r="CB97">
        <f t="shared" si="157"/>
        <v>92</v>
      </c>
      <c r="CD97" s="581">
        <f t="shared" si="140"/>
        <v>-50</v>
      </c>
      <c r="CE97">
        <f t="shared" si="141"/>
        <v>-50</v>
      </c>
    </row>
    <row r="98" spans="5:83" x14ac:dyDescent="0.2">
      <c r="E98" s="176">
        <v>93</v>
      </c>
      <c r="F98" s="223">
        <f t="shared" si="158"/>
        <v>0.93</v>
      </c>
      <c r="G98" s="223">
        <f t="shared" si="142"/>
        <v>0.46500000000000002</v>
      </c>
      <c r="H98" s="223">
        <f t="shared" si="95"/>
        <v>4.6500000000000004</v>
      </c>
      <c r="I98" s="223">
        <f t="shared" si="159"/>
        <v>1.5345</v>
      </c>
      <c r="J98" s="559">
        <f t="shared" si="96"/>
        <v>24</v>
      </c>
      <c r="K98" s="454">
        <f t="shared" si="97"/>
        <v>15.899999999999999</v>
      </c>
      <c r="L98" s="454">
        <f t="shared" si="98"/>
        <v>39.9</v>
      </c>
      <c r="M98" s="454"/>
      <c r="N98" s="223">
        <f t="shared" si="99"/>
        <v>0.39849624060150374</v>
      </c>
      <c r="O98" s="178">
        <f t="shared" si="143"/>
        <v>4.8538639832664359</v>
      </c>
      <c r="P98" s="178">
        <f t="shared" si="100"/>
        <v>2.1303609022556387</v>
      </c>
      <c r="Q98" s="223">
        <f t="shared" si="101"/>
        <v>0.9707727966532872</v>
      </c>
      <c r="R98" s="223">
        <f t="shared" si="102"/>
        <v>1.4708678737171019</v>
      </c>
      <c r="S98" s="454">
        <f t="shared" si="103"/>
        <v>5</v>
      </c>
      <c r="T98" s="223">
        <f t="shared" si="104"/>
        <v>1.4369994758909852</v>
      </c>
      <c r="U98" s="223">
        <f t="shared" si="105"/>
        <v>1.7962493448637316</v>
      </c>
      <c r="V98" s="223">
        <f t="shared" si="106"/>
        <v>2.711319765832048</v>
      </c>
      <c r="W98" s="203">
        <f t="shared" si="107"/>
        <v>350</v>
      </c>
      <c r="X98" s="454">
        <f t="shared" si="144"/>
        <v>221.84906663486339</v>
      </c>
      <c r="Z98" s="223">
        <f t="shared" si="108"/>
        <v>0.91084854994629427</v>
      </c>
      <c r="AA98" s="179">
        <f t="shared" si="109"/>
        <v>1.7185821697099894</v>
      </c>
      <c r="AB98" s="179">
        <f t="shared" si="110"/>
        <v>0.82181824055304764</v>
      </c>
      <c r="AC98" s="179"/>
      <c r="AD98" s="179">
        <f t="shared" si="111"/>
        <v>0.5660377358490567</v>
      </c>
      <c r="AE98" s="563">
        <f t="shared" si="112"/>
        <v>3651.1111111111104</v>
      </c>
      <c r="AF98" s="546">
        <f t="shared" si="113"/>
        <v>8.9150943396226423E-2</v>
      </c>
      <c r="AH98" s="179">
        <f t="shared" si="114"/>
        <v>1.0853570840972109</v>
      </c>
      <c r="AI98" s="179">
        <f t="shared" si="115"/>
        <v>1.4369994758909852</v>
      </c>
      <c r="AJ98" s="179">
        <f t="shared" si="116"/>
        <v>2.042221833993322</v>
      </c>
      <c r="AL98" s="563">
        <f t="shared" si="117"/>
        <v>930</v>
      </c>
      <c r="AM98" s="472">
        <f t="shared" si="118"/>
        <v>221.84906663486339</v>
      </c>
      <c r="AO98">
        <f t="shared" si="145"/>
        <v>930</v>
      </c>
      <c r="AP98">
        <f t="shared" si="119"/>
        <v>221.84906663486339</v>
      </c>
      <c r="AR98" s="6">
        <f t="shared" si="146"/>
        <v>4.5075691106957798</v>
      </c>
      <c r="AS98" s="6">
        <f t="shared" si="120"/>
        <v>1.7962493448637316</v>
      </c>
      <c r="AT98" s="6">
        <f t="shared" si="147"/>
        <v>2.711319765832048</v>
      </c>
      <c r="AU98" s="179">
        <f t="shared" si="148"/>
        <v>0.39849624060150368</v>
      </c>
      <c r="AW98" s="6">
        <f t="shared" si="121"/>
        <v>33.410237814465404</v>
      </c>
      <c r="AX98" s="6">
        <f t="shared" si="122"/>
        <v>25.310786223079855</v>
      </c>
      <c r="AY98" s="6">
        <f t="shared" si="123"/>
        <v>0.48640574502774003</v>
      </c>
      <c r="AZ98" s="6"/>
      <c r="BA98" s="179">
        <f t="shared" si="149"/>
        <v>0.5237307779155651</v>
      </c>
      <c r="BB98" s="179">
        <f t="shared" si="124"/>
        <v>1.9303515564550697</v>
      </c>
      <c r="BC98" s="179">
        <f t="shared" si="125"/>
        <v>0.93782913117775468</v>
      </c>
      <c r="BD98" s="179"/>
      <c r="BE98" s="546">
        <f t="shared" si="126"/>
        <v>9.6002874707615038E-2</v>
      </c>
      <c r="BF98" s="546">
        <f t="shared" si="127"/>
        <v>9.5399999999999957E-2</v>
      </c>
      <c r="BG98" s="546">
        <f t="shared" si="128"/>
        <v>2.773113332935792E-3</v>
      </c>
      <c r="BH98" s="546">
        <f t="shared" si="129"/>
        <v>1.7659296628668445E-2</v>
      </c>
      <c r="BI98">
        <f t="shared" si="130"/>
        <v>6.96E-3</v>
      </c>
      <c r="BJ98">
        <f t="shared" si="131"/>
        <v>0.23973030025445244</v>
      </c>
      <c r="BK98" s="472">
        <f t="shared" si="150"/>
        <v>239.73030025445243</v>
      </c>
      <c r="BL98" s="179">
        <f t="shared" si="132"/>
        <v>0.36084000000000005</v>
      </c>
      <c r="BM98" s="179">
        <f t="shared" si="133"/>
        <v>0.18042000000000002</v>
      </c>
      <c r="BN98" s="546"/>
      <c r="BP98" s="472">
        <f t="shared" si="151"/>
        <v>541.2600000000001</v>
      </c>
      <c r="BQ98" s="546">
        <f t="shared" si="134"/>
        <v>5.4858785547208605E-2</v>
      </c>
      <c r="BR98" s="546">
        <f t="shared" si="135"/>
        <v>0.14905028526034042</v>
      </c>
      <c r="BS98" s="546">
        <f t="shared" si="136"/>
        <v>8.7952347928562227E-2</v>
      </c>
      <c r="BT98" s="546">
        <f t="shared" si="137"/>
        <v>9.0730967801936083E-2</v>
      </c>
      <c r="BU98" s="546">
        <f t="shared" si="138"/>
        <v>0.42759974627428587</v>
      </c>
      <c r="BV98" s="655">
        <f t="shared" si="139"/>
        <v>4.5811111111111101E-2</v>
      </c>
      <c r="BW98" s="472">
        <f t="shared" si="152"/>
        <v>473.41085738539698</v>
      </c>
      <c r="BX98" s="179">
        <f t="shared" si="153"/>
        <v>1.2544011576398493</v>
      </c>
      <c r="BY98" s="6">
        <f t="shared" si="154"/>
        <v>6.1844999999999999</v>
      </c>
      <c r="BZ98" s="179">
        <f t="shared" si="155"/>
        <v>0.83137278866092168</v>
      </c>
      <c r="CA98" s="6">
        <f t="shared" si="156"/>
        <v>83.137278866092174</v>
      </c>
      <c r="CB98">
        <f t="shared" si="157"/>
        <v>93</v>
      </c>
      <c r="CD98" s="581">
        <f t="shared" si="140"/>
        <v>-50</v>
      </c>
      <c r="CE98">
        <f t="shared" si="141"/>
        <v>-50</v>
      </c>
    </row>
    <row r="99" spans="5:83" x14ac:dyDescent="0.2">
      <c r="E99" s="176">
        <v>94</v>
      </c>
      <c r="F99" s="223">
        <f t="shared" si="158"/>
        <v>0.94</v>
      </c>
      <c r="G99" s="223">
        <f t="shared" si="142"/>
        <v>0.47</v>
      </c>
      <c r="H99" s="223">
        <f t="shared" si="95"/>
        <v>4.6999999999999993</v>
      </c>
      <c r="I99" s="223">
        <f t="shared" si="159"/>
        <v>1.5509999999999999</v>
      </c>
      <c r="J99" s="559">
        <f t="shared" si="96"/>
        <v>24</v>
      </c>
      <c r="K99" s="454">
        <f t="shared" si="97"/>
        <v>15.899999999999999</v>
      </c>
      <c r="L99" s="454">
        <f t="shared" si="98"/>
        <v>39.9</v>
      </c>
      <c r="M99" s="454"/>
      <c r="N99" s="223">
        <f t="shared" si="99"/>
        <v>0.39849624060150374</v>
      </c>
      <c r="O99" s="178">
        <f t="shared" si="143"/>
        <v>4.8538639832664359</v>
      </c>
      <c r="P99" s="178">
        <f t="shared" si="100"/>
        <v>2.1303609022556387</v>
      </c>
      <c r="Q99" s="223">
        <f t="shared" si="101"/>
        <v>0.9707727966532872</v>
      </c>
      <c r="R99" s="223">
        <f t="shared" si="102"/>
        <v>1.4708678737171019</v>
      </c>
      <c r="S99" s="454">
        <f t="shared" si="103"/>
        <v>5</v>
      </c>
      <c r="T99" s="223">
        <f t="shared" si="104"/>
        <v>1.4524510831586301</v>
      </c>
      <c r="U99" s="223">
        <f t="shared" si="105"/>
        <v>1.8155638539482877</v>
      </c>
      <c r="V99" s="223">
        <f t="shared" si="106"/>
        <v>2.7404737418087364</v>
      </c>
      <c r="W99" s="203">
        <f t="shared" si="107"/>
        <v>350</v>
      </c>
      <c r="X99" s="454">
        <f t="shared" si="144"/>
        <v>219.48897018130106</v>
      </c>
      <c r="Z99" s="223">
        <f t="shared" si="108"/>
        <v>0.91084854994629427</v>
      </c>
      <c r="AA99" s="179">
        <f t="shared" si="109"/>
        <v>1.7185821697099894</v>
      </c>
      <c r="AB99" s="179">
        <f t="shared" si="110"/>
        <v>0.82181824055304764</v>
      </c>
      <c r="AC99" s="179"/>
      <c r="AD99" s="179">
        <f t="shared" si="111"/>
        <v>0.5660377358490567</v>
      </c>
      <c r="AE99" s="563">
        <f t="shared" si="112"/>
        <v>3690.3703703703695</v>
      </c>
      <c r="AF99" s="546">
        <f t="shared" si="113"/>
        <v>8.9150943396226423E-2</v>
      </c>
      <c r="AH99" s="179">
        <f t="shared" si="114"/>
        <v>1.0911767348448493</v>
      </c>
      <c r="AI99" s="179">
        <f t="shared" si="115"/>
        <v>1.4524510831586301</v>
      </c>
      <c r="AJ99" s="179">
        <f t="shared" si="116"/>
        <v>2.0536674690063927</v>
      </c>
      <c r="AL99" s="563">
        <f t="shared" si="117"/>
        <v>940</v>
      </c>
      <c r="AM99" s="472">
        <f t="shared" si="118"/>
        <v>219.48897018130106</v>
      </c>
      <c r="AO99">
        <f t="shared" si="145"/>
        <v>940</v>
      </c>
      <c r="AP99">
        <f t="shared" si="119"/>
        <v>219.48897018130106</v>
      </c>
      <c r="AR99" s="6">
        <f t="shared" si="146"/>
        <v>4.5560375957570241</v>
      </c>
      <c r="AS99" s="6">
        <f t="shared" si="120"/>
        <v>1.8155638539482877</v>
      </c>
      <c r="AT99" s="6">
        <f t="shared" si="147"/>
        <v>2.7404737418087364</v>
      </c>
      <c r="AU99" s="179">
        <f t="shared" si="148"/>
        <v>0.39849624060150374</v>
      </c>
      <c r="AW99" s="6">
        <f t="shared" si="121"/>
        <v>34.132600454227806</v>
      </c>
      <c r="AX99" s="6">
        <f t="shared" si="122"/>
        <v>25.858030647142279</v>
      </c>
      <c r="AY99" s="6">
        <f t="shared" si="123"/>
        <v>0.49692232201007169</v>
      </c>
      <c r="AZ99" s="6"/>
      <c r="BA99" s="179">
        <f t="shared" si="149"/>
        <v>0.52936229165659276</v>
      </c>
      <c r="BB99" s="179">
        <f t="shared" si="124"/>
        <v>1.9511080248040489</v>
      </c>
      <c r="BC99" s="179">
        <f t="shared" si="125"/>
        <v>0.94791331538396706</v>
      </c>
      <c r="BD99" s="179"/>
      <c r="BE99" s="546">
        <f t="shared" si="126"/>
        <v>9.8078552539771838E-2</v>
      </c>
      <c r="BF99" s="546">
        <f t="shared" si="127"/>
        <v>9.5399999999999985E-2</v>
      </c>
      <c r="BG99" s="546">
        <f t="shared" si="128"/>
        <v>2.7436121272662629E-3</v>
      </c>
      <c r="BH99" s="546">
        <f t="shared" si="129"/>
        <v>1.7471431770916653E-2</v>
      </c>
      <c r="BI99">
        <f t="shared" si="130"/>
        <v>6.96E-3</v>
      </c>
      <c r="BJ99">
        <f t="shared" si="131"/>
        <v>0.2421225465455151</v>
      </c>
      <c r="BK99" s="472">
        <f t="shared" si="150"/>
        <v>242.12254654551509</v>
      </c>
      <c r="BL99" s="179">
        <f t="shared" si="132"/>
        <v>0.36471999999999999</v>
      </c>
      <c r="BM99" s="179">
        <f t="shared" si="133"/>
        <v>0.18235999999999999</v>
      </c>
      <c r="BN99" s="546"/>
      <c r="BP99" s="472">
        <f t="shared" si="151"/>
        <v>547.08000000000004</v>
      </c>
      <c r="BQ99" s="546">
        <f t="shared" si="134"/>
        <v>5.6044887165583916E-2</v>
      </c>
      <c r="BR99" s="546">
        <f t="shared" si="135"/>
        <v>0.15227290097819027</v>
      </c>
      <c r="BS99" s="546">
        <f t="shared" si="136"/>
        <v>8.9853965348222431E-2</v>
      </c>
      <c r="BT99" s="546">
        <f t="shared" si="137"/>
        <v>9.0730967801936194E-2</v>
      </c>
      <c r="BU99" s="546">
        <f t="shared" si="138"/>
        <v>0.43506116781568266</v>
      </c>
      <c r="BV99" s="655">
        <f t="shared" si="139"/>
        <v>4.6303703703703701E-2</v>
      </c>
      <c r="BW99" s="472">
        <f t="shared" si="152"/>
        <v>481.36487151938633</v>
      </c>
      <c r="BX99" s="179">
        <f t="shared" si="153"/>
        <v>1.2705674180649014</v>
      </c>
      <c r="BY99" s="6">
        <f t="shared" si="154"/>
        <v>6.2509999999999994</v>
      </c>
      <c r="BZ99" s="179">
        <f t="shared" si="155"/>
        <v>0.83107677596383434</v>
      </c>
      <c r="CA99" s="6">
        <f t="shared" si="156"/>
        <v>83.107677596383439</v>
      </c>
      <c r="CB99">
        <f t="shared" si="157"/>
        <v>94</v>
      </c>
      <c r="CD99" s="581">
        <f t="shared" si="140"/>
        <v>-50</v>
      </c>
      <c r="CE99">
        <f t="shared" si="141"/>
        <v>-50</v>
      </c>
    </row>
    <row r="100" spans="5:83" x14ac:dyDescent="0.2">
      <c r="E100" s="176">
        <v>95</v>
      </c>
      <c r="F100" s="223">
        <f t="shared" si="158"/>
        <v>0.95</v>
      </c>
      <c r="G100" s="223">
        <f t="shared" si="142"/>
        <v>0.47499999999999998</v>
      </c>
      <c r="H100" s="223">
        <f t="shared" si="95"/>
        <v>4.75</v>
      </c>
      <c r="I100" s="223">
        <f t="shared" si="159"/>
        <v>1.5674999999999999</v>
      </c>
      <c r="J100" s="559">
        <f t="shared" si="96"/>
        <v>24</v>
      </c>
      <c r="K100" s="454">
        <f t="shared" si="97"/>
        <v>15.899999999999999</v>
      </c>
      <c r="L100" s="454">
        <f t="shared" si="98"/>
        <v>39.9</v>
      </c>
      <c r="M100" s="454"/>
      <c r="N100" s="223">
        <f t="shared" si="99"/>
        <v>0.39849624060150374</v>
      </c>
      <c r="O100" s="178">
        <f t="shared" si="143"/>
        <v>4.8538639832664359</v>
      </c>
      <c r="P100" s="178">
        <f t="shared" si="100"/>
        <v>2.1303609022556387</v>
      </c>
      <c r="Q100" s="223">
        <f t="shared" si="101"/>
        <v>0.9707727966532872</v>
      </c>
      <c r="R100" s="223">
        <f t="shared" si="102"/>
        <v>1.4708678737171019</v>
      </c>
      <c r="S100" s="454">
        <f t="shared" si="103"/>
        <v>5</v>
      </c>
      <c r="T100" s="223">
        <f t="shared" si="104"/>
        <v>1.4679026904262753</v>
      </c>
      <c r="U100" s="223">
        <f t="shared" si="105"/>
        <v>1.834878363032844</v>
      </c>
      <c r="V100" s="223">
        <f t="shared" si="106"/>
        <v>2.7696277177854256</v>
      </c>
      <c r="W100" s="203">
        <f t="shared" si="107"/>
        <v>350</v>
      </c>
      <c r="X100" s="454">
        <f t="shared" si="144"/>
        <v>217.17855996886627</v>
      </c>
      <c r="Z100" s="223">
        <f t="shared" si="108"/>
        <v>0.91084854994629427</v>
      </c>
      <c r="AA100" s="179">
        <f t="shared" si="109"/>
        <v>1.7185821697099894</v>
      </c>
      <c r="AB100" s="179">
        <f t="shared" si="110"/>
        <v>0.82181824055304764</v>
      </c>
      <c r="AC100" s="179"/>
      <c r="AD100" s="179">
        <f t="shared" si="111"/>
        <v>0.5660377358490567</v>
      </c>
      <c r="AE100" s="563">
        <f t="shared" si="112"/>
        <v>3729.6296296296287</v>
      </c>
      <c r="AF100" s="546">
        <f t="shared" si="113"/>
        <v>8.9150943396226423E-2</v>
      </c>
      <c r="AH100" s="179">
        <f t="shared" si="114"/>
        <v>1.096965511460289</v>
      </c>
      <c r="AI100" s="179">
        <f t="shared" si="115"/>
        <v>1.4679026904262753</v>
      </c>
      <c r="AJ100" s="179">
        <f t="shared" si="116"/>
        <v>2.065113104019463</v>
      </c>
      <c r="AL100" s="563">
        <f t="shared" si="117"/>
        <v>950</v>
      </c>
      <c r="AM100" s="472">
        <f t="shared" si="118"/>
        <v>217.17855996886627</v>
      </c>
      <c r="AO100">
        <f t="shared" si="145"/>
        <v>950</v>
      </c>
      <c r="AP100">
        <f t="shared" si="119"/>
        <v>217.17855996886627</v>
      </c>
      <c r="AR100" s="6">
        <f t="shared" si="146"/>
        <v>4.6045060808182701</v>
      </c>
      <c r="AS100" s="6">
        <f t="shared" si="120"/>
        <v>1.834878363032844</v>
      </c>
      <c r="AT100" s="6">
        <f t="shared" si="147"/>
        <v>2.769627717785426</v>
      </c>
      <c r="AU100" s="179">
        <f t="shared" si="148"/>
        <v>0.39849624060150368</v>
      </c>
      <c r="AW100" s="6">
        <f t="shared" si="121"/>
        <v>34.862688897624032</v>
      </c>
      <c r="AX100" s="6">
        <f t="shared" si="122"/>
        <v>26.411127952745481</v>
      </c>
      <c r="AY100" s="6">
        <f t="shared" si="123"/>
        <v>0.50755137575157294</v>
      </c>
      <c r="AZ100" s="6"/>
      <c r="BA100" s="179">
        <f t="shared" si="149"/>
        <v>0.53499380539762031</v>
      </c>
      <c r="BB100" s="179">
        <f t="shared" si="124"/>
        <v>1.9718644931530287</v>
      </c>
      <c r="BC100" s="179">
        <f t="shared" si="125"/>
        <v>0.95799749959017955</v>
      </c>
      <c r="BD100" s="179"/>
      <c r="BE100" s="546">
        <f t="shared" si="126"/>
        <v>0.10017643013483937</v>
      </c>
      <c r="BF100" s="546">
        <f t="shared" si="127"/>
        <v>9.5399999999999971E-2</v>
      </c>
      <c r="BG100" s="546">
        <f t="shared" si="128"/>
        <v>2.7147319996108283E-3</v>
      </c>
      <c r="BH100" s="546">
        <f t="shared" si="129"/>
        <v>1.7287521962801738E-2</v>
      </c>
      <c r="BI100">
        <f t="shared" si="130"/>
        <v>6.96E-3</v>
      </c>
      <c r="BJ100">
        <f t="shared" si="131"/>
        <v>0.24455114965669475</v>
      </c>
      <c r="BK100" s="472">
        <f t="shared" si="150"/>
        <v>244.55114965669475</v>
      </c>
      <c r="BL100" s="179">
        <f t="shared" si="132"/>
        <v>0.36859999999999998</v>
      </c>
      <c r="BM100" s="179">
        <f t="shared" si="133"/>
        <v>0.18429999999999999</v>
      </c>
      <c r="BN100" s="546"/>
      <c r="BP100" s="472">
        <f t="shared" si="151"/>
        <v>552.9</v>
      </c>
      <c r="BQ100" s="546">
        <f t="shared" si="134"/>
        <v>5.7243674362765368E-2</v>
      </c>
      <c r="BR100" s="546">
        <f t="shared" si="135"/>
        <v>0.15552998317430602</v>
      </c>
      <c r="BS100" s="546">
        <f t="shared" si="136"/>
        <v>9.1775920922103613E-2</v>
      </c>
      <c r="BT100" s="546">
        <f t="shared" si="137"/>
        <v>9.0730967801936138E-2</v>
      </c>
      <c r="BU100" s="546">
        <f t="shared" si="138"/>
        <v>0.44261023655333487</v>
      </c>
      <c r="BV100" s="655">
        <f t="shared" si="139"/>
        <v>4.6796296296296294E-2</v>
      </c>
      <c r="BW100" s="472">
        <f t="shared" si="152"/>
        <v>489.40653284963116</v>
      </c>
      <c r="BX100" s="179">
        <f t="shared" si="153"/>
        <v>1.2868576825063258</v>
      </c>
      <c r="BY100" s="6">
        <f t="shared" si="154"/>
        <v>6.3174999999999999</v>
      </c>
      <c r="BZ100" s="179">
        <f t="shared" si="155"/>
        <v>0.83077365160416949</v>
      </c>
      <c r="CA100" s="6">
        <f t="shared" si="156"/>
        <v>83.077365160416946</v>
      </c>
      <c r="CB100">
        <f t="shared" si="157"/>
        <v>95</v>
      </c>
      <c r="CD100" s="581">
        <f t="shared" si="140"/>
        <v>-50</v>
      </c>
      <c r="CE100">
        <f t="shared" si="141"/>
        <v>-50</v>
      </c>
    </row>
    <row r="101" spans="5:83" x14ac:dyDescent="0.2">
      <c r="E101" s="176">
        <v>96</v>
      </c>
      <c r="F101" s="223">
        <f t="shared" si="158"/>
        <v>0.96</v>
      </c>
      <c r="G101" s="223">
        <f t="shared" si="142"/>
        <v>0.48</v>
      </c>
      <c r="H101" s="223">
        <f t="shared" si="95"/>
        <v>4.8</v>
      </c>
      <c r="I101" s="223">
        <f t="shared" si="159"/>
        <v>1.5839999999999999</v>
      </c>
      <c r="J101" s="559">
        <f t="shared" si="96"/>
        <v>24</v>
      </c>
      <c r="K101" s="454">
        <f t="shared" si="97"/>
        <v>15.899999999999999</v>
      </c>
      <c r="L101" s="454">
        <f t="shared" si="98"/>
        <v>39.9</v>
      </c>
      <c r="M101" s="454"/>
      <c r="N101" s="223">
        <f t="shared" si="99"/>
        <v>0.39849624060150374</v>
      </c>
      <c r="O101" s="178">
        <f t="shared" si="143"/>
        <v>4.8538639832664359</v>
      </c>
      <c r="P101" s="178">
        <f t="shared" si="100"/>
        <v>2.1303609022556387</v>
      </c>
      <c r="Q101" s="223">
        <f t="shared" si="101"/>
        <v>0.9707727966532872</v>
      </c>
      <c r="R101" s="223">
        <f t="shared" si="102"/>
        <v>1.4708678737171019</v>
      </c>
      <c r="S101" s="454">
        <f t="shared" si="103"/>
        <v>5</v>
      </c>
      <c r="T101" s="223">
        <f t="shared" si="104"/>
        <v>1.4833542976939202</v>
      </c>
      <c r="U101" s="223">
        <f t="shared" si="105"/>
        <v>1.8541928721174001</v>
      </c>
      <c r="V101" s="223">
        <f t="shared" si="106"/>
        <v>2.7987816937621139</v>
      </c>
      <c r="W101" s="203">
        <f t="shared" si="107"/>
        <v>350</v>
      </c>
      <c r="X101" s="454">
        <f t="shared" si="144"/>
        <v>214.91628330252394</v>
      </c>
      <c r="Z101" s="223">
        <f t="shared" si="108"/>
        <v>0.91084854994629427</v>
      </c>
      <c r="AA101" s="179">
        <f t="shared" si="109"/>
        <v>1.7185821697099894</v>
      </c>
      <c r="AB101" s="179">
        <f t="shared" ref="AB101:AB105" si="160">0.5*AA101*Z101*Nps*W101/1000*(Pout/Pout_total)</f>
        <v>0.82181824055304764</v>
      </c>
      <c r="AC101" s="179"/>
      <c r="AD101" s="179">
        <f t="shared" si="111"/>
        <v>0.5660377358490567</v>
      </c>
      <c r="AE101" s="563">
        <f t="shared" ref="AE101:AE105" si="161">MAX(10, F101/(0.5*AD101/1000000*Isw_min*Nps)/1000*Pout_total/Pout)</f>
        <v>3768.8888888888882</v>
      </c>
      <c r="AF101" s="546">
        <f t="shared" si="113"/>
        <v>8.9150943396226423E-2</v>
      </c>
      <c r="AH101" s="179">
        <f t="shared" si="114"/>
        <v>1.1027239001672178</v>
      </c>
      <c r="AI101" s="179">
        <f t="shared" ref="AI101:AI105" si="162">MAX(IF(F101&gt;AB101,T101,AH101),Isw_min)</f>
        <v>1.4833542976939202</v>
      </c>
      <c r="AJ101" s="179">
        <f t="shared" ref="AJ101:AJ105" si="163">IF(F101&gt;AF101, (AI101-Isw_min)/1.08*0.8+1.2, AE101*0.2/350+1)</f>
        <v>2.0765587390325333</v>
      </c>
      <c r="AL101" s="563">
        <f t="shared" si="117"/>
        <v>960</v>
      </c>
      <c r="AM101" s="472">
        <f t="shared" si="118"/>
        <v>214.91628330252394</v>
      </c>
      <c r="AO101">
        <f t="shared" si="145"/>
        <v>960</v>
      </c>
      <c r="AP101">
        <f t="shared" si="119"/>
        <v>214.91628330252394</v>
      </c>
      <c r="AR101" s="6">
        <f t="shared" si="146"/>
        <v>4.6529745658795143</v>
      </c>
      <c r="AS101" s="6">
        <f t="shared" si="120"/>
        <v>1.8541928721174001</v>
      </c>
      <c r="AT101" s="6">
        <f t="shared" si="147"/>
        <v>2.7987816937621144</v>
      </c>
      <c r="AU101" s="179">
        <f t="shared" si="148"/>
        <v>0.39849624060150368</v>
      </c>
      <c r="AW101" s="6">
        <f t="shared" si="121"/>
        <v>35.600503144654084</v>
      </c>
      <c r="AX101" s="6">
        <f t="shared" si="122"/>
        <v>26.970078139889456</v>
      </c>
      <c r="AY101" s="6">
        <f t="shared" si="123"/>
        <v>0.51829290625224322</v>
      </c>
      <c r="AZ101" s="6"/>
      <c r="BA101" s="179">
        <f t="shared" si="149"/>
        <v>0.54062531913864786</v>
      </c>
      <c r="BB101" s="179">
        <f t="shared" si="124"/>
        <v>1.9926209615020076</v>
      </c>
      <c r="BC101" s="179">
        <f t="shared" si="125"/>
        <v>0.96808168379639203</v>
      </c>
      <c r="BD101" s="179"/>
      <c r="BE101" s="546">
        <f t="shared" si="126"/>
        <v>0.1022965074928177</v>
      </c>
      <c r="BF101" s="546">
        <f t="shared" si="127"/>
        <v>9.5399999999999971E-2</v>
      </c>
      <c r="BG101" s="546">
        <f t="shared" si="128"/>
        <v>2.6864535412815492E-3</v>
      </c>
      <c r="BH101" s="546">
        <f t="shared" si="129"/>
        <v>1.7107443609022558E-2</v>
      </c>
      <c r="BI101">
        <f t="shared" si="130"/>
        <v>6.96E-3</v>
      </c>
      <c r="BJ101">
        <f t="shared" ref="BJ101:BJ105" si="164">(BF101+BG101+BH101+BI101+BE101*(1+RdsonTC*(Ta-25)))/(1-BE101*RdsonTC*ThetaJA)</f>
        <v>0.24701610163089865</v>
      </c>
      <c r="BK101" s="472">
        <f t="shared" si="150"/>
        <v>247.01610163089865</v>
      </c>
      <c r="BL101" s="179">
        <f t="shared" si="132"/>
        <v>0.37247999999999998</v>
      </c>
      <c r="BM101" s="179">
        <f t="shared" si="133"/>
        <v>0.18623999999999999</v>
      </c>
      <c r="BN101" s="546"/>
      <c r="BP101" s="472">
        <f t="shared" si="151"/>
        <v>558.72</v>
      </c>
      <c r="BQ101" s="546">
        <f t="shared" si="134"/>
        <v>5.8455147138752973E-2</v>
      </c>
      <c r="BR101" s="546">
        <f t="shared" si="135"/>
        <v>0.15882153184868741</v>
      </c>
      <c r="BS101" s="546">
        <f t="shared" si="136"/>
        <v>9.3718214650205758E-2</v>
      </c>
      <c r="BT101" s="546">
        <f t="shared" si="137"/>
        <v>9.0730967801936194E-2</v>
      </c>
      <c r="BU101" s="546">
        <f t="shared" ref="BU101:BU105" si="165">(BT101+(BQ101+BR101+BS101)*(1+Ltc*(Ta-25)))/(1-(BQ101+BR101+BS101)*Ltc*ThetaCa)</f>
        <v>0.45024721546688146</v>
      </c>
      <c r="BV101" s="655">
        <f t="shared" si="139"/>
        <v>4.7288888888888894E-2</v>
      </c>
      <c r="BW101" s="472">
        <f t="shared" si="152"/>
        <v>497.53610435577036</v>
      </c>
      <c r="BX101" s="179">
        <f t="shared" si="153"/>
        <v>1.303272205986669</v>
      </c>
      <c r="BY101" s="6">
        <f t="shared" si="154"/>
        <v>6.3839999999999995</v>
      </c>
      <c r="BZ101" s="179">
        <f t="shared" si="155"/>
        <v>0.83046363247398591</v>
      </c>
      <c r="CA101" s="6">
        <f t="shared" si="156"/>
        <v>83.046363247398588</v>
      </c>
      <c r="CB101">
        <f t="shared" si="157"/>
        <v>96</v>
      </c>
      <c r="CD101" s="581">
        <f t="shared" si="140"/>
        <v>-50</v>
      </c>
      <c r="CE101">
        <f t="shared" si="141"/>
        <v>-50</v>
      </c>
    </row>
    <row r="102" spans="5:83" x14ac:dyDescent="0.2">
      <c r="E102" s="176">
        <v>97</v>
      </c>
      <c r="F102" s="223">
        <f t="shared" si="158"/>
        <v>0.97</v>
      </c>
      <c r="G102" s="223">
        <f t="shared" si="142"/>
        <v>0.48499999999999999</v>
      </c>
      <c r="H102" s="223">
        <f t="shared" si="95"/>
        <v>4.8499999999999996</v>
      </c>
      <c r="I102" s="223">
        <f t="shared" si="159"/>
        <v>1.6004999999999998</v>
      </c>
      <c r="J102" s="559">
        <f t="shared" si="96"/>
        <v>24</v>
      </c>
      <c r="K102" s="454">
        <f t="shared" si="97"/>
        <v>15.899999999999999</v>
      </c>
      <c r="L102" s="454">
        <f t="shared" si="98"/>
        <v>39.9</v>
      </c>
      <c r="M102" s="454"/>
      <c r="N102" s="223">
        <f t="shared" si="99"/>
        <v>0.39849624060150374</v>
      </c>
      <c r="O102" s="178">
        <f t="shared" ref="O102:O105" si="166">N102*J102*Isw_max*0.5*Efficiency*Pout/(Pout+Pout2)</f>
        <v>4.8538639832664359</v>
      </c>
      <c r="P102" s="178">
        <f t="shared" si="100"/>
        <v>2.1303609022556387</v>
      </c>
      <c r="Q102" s="223">
        <f t="shared" si="101"/>
        <v>0.9707727966532872</v>
      </c>
      <c r="R102" s="223">
        <f t="shared" si="102"/>
        <v>1.4708678737171019</v>
      </c>
      <c r="S102" s="454">
        <f t="shared" si="103"/>
        <v>5</v>
      </c>
      <c r="T102" s="223">
        <f t="shared" si="104"/>
        <v>1.4988059049615652</v>
      </c>
      <c r="U102" s="223">
        <f t="shared" si="105"/>
        <v>1.8735073812019565</v>
      </c>
      <c r="V102" s="223">
        <f t="shared" si="106"/>
        <v>2.8279356697388023</v>
      </c>
      <c r="W102" s="203">
        <f t="shared" si="107"/>
        <v>350</v>
      </c>
      <c r="X102" s="454">
        <f t="shared" si="144"/>
        <v>212.70065151590001</v>
      </c>
      <c r="Z102" s="223">
        <f t="shared" si="108"/>
        <v>0.91084854994629427</v>
      </c>
      <c r="AA102" s="179">
        <f t="shared" si="109"/>
        <v>1.7185821697099894</v>
      </c>
      <c r="AB102" s="179">
        <f t="shared" si="160"/>
        <v>0.82181824055304764</v>
      </c>
      <c r="AC102" s="179"/>
      <c r="AD102" s="179">
        <f t="shared" si="111"/>
        <v>0.5660377358490567</v>
      </c>
      <c r="AE102" s="563">
        <f t="shared" si="161"/>
        <v>3808.1481481481474</v>
      </c>
      <c r="AF102" s="546">
        <f t="shared" si="113"/>
        <v>8.9150943396226423E-2</v>
      </c>
      <c r="AH102" s="179">
        <f t="shared" si="114"/>
        <v>1.1084523745595327</v>
      </c>
      <c r="AI102" s="179">
        <f t="shared" si="162"/>
        <v>1.4988059049615652</v>
      </c>
      <c r="AJ102" s="179">
        <f t="shared" si="163"/>
        <v>2.0880043740456036</v>
      </c>
      <c r="AL102" s="563">
        <f t="shared" si="117"/>
        <v>970</v>
      </c>
      <c r="AM102" s="472">
        <f t="shared" si="118"/>
        <v>212.70065151590001</v>
      </c>
      <c r="AO102">
        <f t="shared" si="145"/>
        <v>970</v>
      </c>
      <c r="AP102">
        <f t="shared" si="119"/>
        <v>212.70065151590001</v>
      </c>
      <c r="AR102" s="6">
        <f t="shared" si="146"/>
        <v>4.7014430509407585</v>
      </c>
      <c r="AS102" s="6">
        <f t="shared" si="120"/>
        <v>1.8735073812019565</v>
      </c>
      <c r="AT102" s="6">
        <f t="shared" si="147"/>
        <v>2.8279356697388023</v>
      </c>
      <c r="AU102" s="179">
        <f t="shared" si="148"/>
        <v>0.39849624060150379</v>
      </c>
      <c r="AW102" s="6">
        <f t="shared" si="121"/>
        <v>36.346043195317961</v>
      </c>
      <c r="AX102" s="6">
        <f t="shared" si="122"/>
        <v>27.534881208574209</v>
      </c>
      <c r="AY102" s="6">
        <f t="shared" si="123"/>
        <v>0.52914691351208276</v>
      </c>
      <c r="AZ102" s="6"/>
      <c r="BA102" s="179">
        <f t="shared" si="149"/>
        <v>0.54625683287967564</v>
      </c>
      <c r="BB102" s="179">
        <f t="shared" si="124"/>
        <v>2.0133774298509866</v>
      </c>
      <c r="BC102" s="179">
        <f t="shared" si="125"/>
        <v>0.9781658680026043</v>
      </c>
      <c r="BD102" s="179"/>
      <c r="BE102" s="546">
        <f t="shared" si="126"/>
        <v>0.10443878461370686</v>
      </c>
      <c r="BF102" s="546">
        <f t="shared" si="127"/>
        <v>9.5399999999999985E-2</v>
      </c>
      <c r="BG102" s="546">
        <f t="shared" si="128"/>
        <v>2.6587581439487498E-3</v>
      </c>
      <c r="BH102" s="546">
        <f t="shared" si="129"/>
        <v>1.69310782109914E-2</v>
      </c>
      <c r="BI102">
        <f t="shared" si="130"/>
        <v>6.96E-3</v>
      </c>
      <c r="BJ102">
        <f t="shared" si="164"/>
        <v>0.24951740234599887</v>
      </c>
      <c r="BK102" s="472">
        <f t="shared" si="150"/>
        <v>249.51740234599887</v>
      </c>
      <c r="BL102" s="179">
        <f t="shared" si="132"/>
        <v>0.37636000000000003</v>
      </c>
      <c r="BM102" s="179">
        <f t="shared" si="133"/>
        <v>0.18818000000000001</v>
      </c>
      <c r="BN102" s="546"/>
      <c r="BP102" s="472">
        <f t="shared" si="151"/>
        <v>564.54000000000008</v>
      </c>
      <c r="BQ102" s="546">
        <f t="shared" si="134"/>
        <v>5.9679305493546775E-2</v>
      </c>
      <c r="BR102" s="546">
        <f t="shared" si="135"/>
        <v>0.16214754700133457</v>
      </c>
      <c r="BS102" s="546">
        <f t="shared" si="136"/>
        <v>9.568084653252884E-2</v>
      </c>
      <c r="BT102" s="546">
        <f t="shared" si="137"/>
        <v>9.0730967801936152E-2</v>
      </c>
      <c r="BU102" s="546">
        <f t="shared" si="165"/>
        <v>0.45797237101167915</v>
      </c>
      <c r="BV102" s="655">
        <f t="shared" si="139"/>
        <v>4.7781481481481487E-2</v>
      </c>
      <c r="BW102" s="472">
        <f t="shared" si="152"/>
        <v>505.75385249316065</v>
      </c>
      <c r="BX102" s="179">
        <f t="shared" si="153"/>
        <v>1.3198112548391594</v>
      </c>
      <c r="BY102" s="6">
        <f t="shared" si="154"/>
        <v>6.4504999999999999</v>
      </c>
      <c r="BZ102" s="179">
        <f t="shared" si="155"/>
        <v>0.83014692570812876</v>
      </c>
      <c r="CA102" s="6">
        <f t="shared" si="156"/>
        <v>83.014692570812869</v>
      </c>
      <c r="CB102">
        <f t="shared" si="157"/>
        <v>97</v>
      </c>
      <c r="CD102" s="581">
        <f t="shared" si="140"/>
        <v>-50</v>
      </c>
      <c r="CE102">
        <f t="shared" si="141"/>
        <v>-50</v>
      </c>
    </row>
    <row r="103" spans="5:83" x14ac:dyDescent="0.2">
      <c r="E103" s="176">
        <v>98</v>
      </c>
      <c r="F103" s="223">
        <f t="shared" si="158"/>
        <v>0.98</v>
      </c>
      <c r="G103" s="223">
        <f t="shared" si="142"/>
        <v>0.49</v>
      </c>
      <c r="H103" s="223">
        <f t="shared" si="95"/>
        <v>4.9000000000000004</v>
      </c>
      <c r="I103" s="223">
        <f t="shared" si="159"/>
        <v>1.617</v>
      </c>
      <c r="J103" s="559">
        <f t="shared" si="96"/>
        <v>24</v>
      </c>
      <c r="K103" s="454">
        <f t="shared" si="97"/>
        <v>15.758767295713579</v>
      </c>
      <c r="L103" s="454">
        <f t="shared" si="98"/>
        <v>39.9</v>
      </c>
      <c r="M103" s="454"/>
      <c r="N103" s="223">
        <f t="shared" si="99"/>
        <v>0.39849624060150374</v>
      </c>
      <c r="O103" s="178">
        <f t="shared" si="166"/>
        <v>4.8538639832664359</v>
      </c>
      <c r="P103" s="178">
        <f t="shared" si="100"/>
        <v>2.1303609022556387</v>
      </c>
      <c r="Q103" s="223">
        <f t="shared" si="101"/>
        <v>0.9707727966532872</v>
      </c>
      <c r="R103" s="223">
        <f t="shared" si="102"/>
        <v>1.4708678737171019</v>
      </c>
      <c r="S103" s="454">
        <f t="shared" si="103"/>
        <v>4.9529224319045264</v>
      </c>
      <c r="T103" s="223">
        <f t="shared" si="104"/>
        <v>1.5</v>
      </c>
      <c r="U103" s="223">
        <f t="shared" si="105"/>
        <v>1.875</v>
      </c>
      <c r="V103" s="223">
        <f t="shared" si="106"/>
        <v>2.8555533028424187</v>
      </c>
      <c r="W103" s="203">
        <f t="shared" si="107"/>
        <v>350</v>
      </c>
      <c r="X103" s="454">
        <f t="shared" si="144"/>
        <v>211.39176243910754</v>
      </c>
      <c r="Z103" s="223">
        <f t="shared" si="108"/>
        <v>0.90596469616760356</v>
      </c>
      <c r="AA103" s="179">
        <f t="shared" si="109"/>
        <v>1.7246869869333525</v>
      </c>
      <c r="AB103" s="179">
        <f t="shared" si="160"/>
        <v>0.82031539910317963</v>
      </c>
      <c r="AC103" s="179"/>
      <c r="AD103" s="179">
        <f t="shared" si="111"/>
        <v>0.57111066056848381</v>
      </c>
      <c r="AE103" s="563">
        <f t="shared" si="161"/>
        <v>3813.2325801973593</v>
      </c>
      <c r="AF103" s="546">
        <f t="shared" si="113"/>
        <v>8.9949929039536192E-2</v>
      </c>
      <c r="AH103" s="179">
        <f t="shared" si="114"/>
        <v>1.1141513960559102</v>
      </c>
      <c r="AI103" s="179">
        <f t="shared" si="162"/>
        <v>1.5</v>
      </c>
      <c r="AJ103" s="179">
        <f t="shared" si="163"/>
        <v>2.0888888888888886</v>
      </c>
      <c r="AL103" s="563">
        <f t="shared" si="117"/>
        <v>980</v>
      </c>
      <c r="AM103" s="472">
        <f t="shared" si="118"/>
        <v>211.39176243910754</v>
      </c>
      <c r="AO103" t="str">
        <f t="shared" si="145"/>
        <v/>
      </c>
      <c r="AP103" t="str">
        <f t="shared" si="119"/>
        <v/>
      </c>
      <c r="AR103" s="6">
        <f t="shared" si="146"/>
        <v>4.7305533028424183</v>
      </c>
      <c r="AS103" s="6">
        <f t="shared" si="120"/>
        <v>1.875</v>
      </c>
      <c r="AT103" s="6">
        <f t="shared" si="147"/>
        <v>2.8555533028424183</v>
      </c>
      <c r="AU103" s="179">
        <f t="shared" si="148"/>
        <v>0.39635955457332661</v>
      </c>
      <c r="AW103" s="6">
        <f t="shared" si="121"/>
        <v>36.75</v>
      </c>
      <c r="AX103" s="6">
        <f t="shared" si="122"/>
        <v>27.84090909090909</v>
      </c>
      <c r="AY103" s="6">
        <f t="shared" si="123"/>
        <v>0.5398229623428954</v>
      </c>
      <c r="AZ103" s="6"/>
      <c r="BA103" s="179">
        <f t="shared" si="149"/>
        <v>0.54522441795098919</v>
      </c>
      <c r="BB103" s="179">
        <f t="shared" si="124"/>
        <v>2.0185571596142742</v>
      </c>
      <c r="BC103" s="179">
        <f t="shared" si="125"/>
        <v>0.98068235337926801</v>
      </c>
      <c r="BD103" s="179"/>
      <c r="BE103" s="546">
        <f t="shared" si="126"/>
        <v>0.10404438307549822</v>
      </c>
      <c r="BF103" s="546">
        <f t="shared" si="127"/>
        <v>9.4888477364854396E-2</v>
      </c>
      <c r="BG103" s="546">
        <f t="shared" si="128"/>
        <v>2.6423970304888444E-3</v>
      </c>
      <c r="BH103" s="546">
        <f t="shared" si="129"/>
        <v>1.6826889986034183E-2</v>
      </c>
      <c r="BI103">
        <f t="shared" si="130"/>
        <v>6.96E-3</v>
      </c>
      <c r="BJ103">
        <f t="shared" si="164"/>
        <v>0.24836192914312588</v>
      </c>
      <c r="BK103" s="472">
        <f t="shared" si="150"/>
        <v>248.36192914312588</v>
      </c>
      <c r="BL103" s="179">
        <f t="shared" si="132"/>
        <v>0.38024000000000002</v>
      </c>
      <c r="BM103" s="179">
        <f t="shared" si="133"/>
        <v>0.19012000000000001</v>
      </c>
      <c r="BN103" s="546"/>
      <c r="BP103" s="472">
        <f t="shared" si="151"/>
        <v>570.36</v>
      </c>
      <c r="BQ103" s="546">
        <f t="shared" si="134"/>
        <v>5.9453933185998988E-2</v>
      </c>
      <c r="BR103" s="546">
        <f t="shared" si="135"/>
        <v>0.16298292026520186</v>
      </c>
      <c r="BS103" s="546">
        <f t="shared" si="136"/>
        <v>9.6173787822949955E-2</v>
      </c>
      <c r="BT103" s="546">
        <f t="shared" si="137"/>
        <v>8.9519634639801282E-2</v>
      </c>
      <c r="BU103" s="546">
        <f t="shared" si="165"/>
        <v>0.45803842620290708</v>
      </c>
      <c r="BV103" s="655">
        <f t="shared" si="139"/>
        <v>4.7563146548799194E-2</v>
      </c>
      <c r="BW103" s="472">
        <f t="shared" si="152"/>
        <v>505.60157275170627</v>
      </c>
      <c r="BX103" s="179">
        <f t="shared" si="153"/>
        <v>1.3243235018948323</v>
      </c>
      <c r="BY103" s="6">
        <f t="shared" si="154"/>
        <v>6.5170000000000003</v>
      </c>
      <c r="BZ103" s="179">
        <f t="shared" si="155"/>
        <v>0.83110969703331161</v>
      </c>
      <c r="CA103" s="6">
        <f t="shared" si="156"/>
        <v>83.110969703331165</v>
      </c>
      <c r="CB103">
        <f t="shared" si="157"/>
        <v>98</v>
      </c>
      <c r="CD103" s="581">
        <f t="shared" si="140"/>
        <v>-50</v>
      </c>
      <c r="CE103">
        <f t="shared" si="141"/>
        <v>-50</v>
      </c>
    </row>
    <row r="104" spans="5:83" x14ac:dyDescent="0.2">
      <c r="E104" s="176">
        <v>99</v>
      </c>
      <c r="F104" s="223">
        <f t="shared" ref="F104:F105" si="167">IF(PLOT_TYPE=1, E104/100*Iout_max, min_I*EXP(O104*rr/100))</f>
        <v>0.99</v>
      </c>
      <c r="G104" s="223">
        <f t="shared" si="142"/>
        <v>0.495</v>
      </c>
      <c r="H104" s="223">
        <f t="shared" si="95"/>
        <v>4.95</v>
      </c>
      <c r="I104" s="223">
        <f t="shared" si="159"/>
        <v>1.6335</v>
      </c>
      <c r="J104" s="559">
        <f t="shared" si="96"/>
        <v>24</v>
      </c>
      <c r="K104" s="454">
        <f t="shared" si="97"/>
        <v>15.608678737171015</v>
      </c>
      <c r="L104" s="454">
        <f t="shared" si="98"/>
        <v>39.9</v>
      </c>
      <c r="M104" s="454"/>
      <c r="N104" s="223">
        <f t="shared" si="99"/>
        <v>0.39849624060150374</v>
      </c>
      <c r="O104" s="178">
        <f t="shared" si="166"/>
        <v>4.8538639832664359</v>
      </c>
      <c r="P104" s="178">
        <f t="shared" si="100"/>
        <v>2.1303609022556387</v>
      </c>
      <c r="Q104" s="223">
        <f t="shared" si="101"/>
        <v>0.9707727966532872</v>
      </c>
      <c r="R104" s="223">
        <f t="shared" si="102"/>
        <v>1.4708678737171019</v>
      </c>
      <c r="S104" s="454">
        <f t="shared" si="103"/>
        <v>4.9028929123903389</v>
      </c>
      <c r="T104" s="223">
        <f t="shared" si="104"/>
        <v>1.5</v>
      </c>
      <c r="U104" s="223">
        <f t="shared" si="105"/>
        <v>1.875</v>
      </c>
      <c r="V104" s="223">
        <f t="shared" si="106"/>
        <v>2.8830114808395368</v>
      </c>
      <c r="W104" s="203">
        <f t="shared" si="107"/>
        <v>350</v>
      </c>
      <c r="X104" s="454">
        <f t="shared" si="144"/>
        <v>210.17183418471973</v>
      </c>
      <c r="Z104" s="223">
        <f t="shared" si="108"/>
        <v>0.90073643222022737</v>
      </c>
      <c r="AA104" s="179">
        <f t="shared" si="109"/>
        <v>1.7312223168675724</v>
      </c>
      <c r="AB104" s="179">
        <f t="shared" si="160"/>
        <v>0.81867188186454998</v>
      </c>
      <c r="AC104" s="179"/>
      <c r="AD104" s="179">
        <f t="shared" si="111"/>
        <v>0.57660229616790748</v>
      </c>
      <c r="AE104" s="563">
        <f t="shared" si="161"/>
        <v>3815.4548024195806</v>
      </c>
      <c r="AF104" s="546">
        <f t="shared" si="113"/>
        <v>9.0814861646445422E-2</v>
      </c>
      <c r="AH104" s="179">
        <f t="shared" si="114"/>
        <v>1.1198214143335534</v>
      </c>
      <c r="AI104" s="179">
        <f t="shared" si="162"/>
        <v>1.5</v>
      </c>
      <c r="AJ104" s="179">
        <f t="shared" si="163"/>
        <v>2.0888888888888886</v>
      </c>
      <c r="AL104" s="563">
        <f t="shared" si="117"/>
        <v>990</v>
      </c>
      <c r="AM104" s="472">
        <f t="shared" si="118"/>
        <v>210.17183418471973</v>
      </c>
      <c r="AO104" t="str">
        <f t="shared" si="145"/>
        <v/>
      </c>
      <c r="AP104" t="str">
        <f t="shared" si="119"/>
        <v/>
      </c>
      <c r="AR104" s="6">
        <f t="shared" si="146"/>
        <v>4.7580114808395368</v>
      </c>
      <c r="AS104" s="6">
        <f t="shared" si="120"/>
        <v>1.875</v>
      </c>
      <c r="AT104" s="6">
        <f t="shared" si="147"/>
        <v>2.8830114808395368</v>
      </c>
      <c r="AU104" s="179">
        <f t="shared" si="148"/>
        <v>0.3940721890963495</v>
      </c>
      <c r="AW104" s="6">
        <f t="shared" si="121"/>
        <v>37.125</v>
      </c>
      <c r="AX104" s="6">
        <f t="shared" si="122"/>
        <v>28.125</v>
      </c>
      <c r="AY104" s="6">
        <f t="shared" si="123"/>
        <v>0.55057510918810593</v>
      </c>
      <c r="AZ104" s="6"/>
      <c r="BA104" s="179">
        <f t="shared" si="149"/>
        <v>0.54364891411853478</v>
      </c>
      <c r="BB104" s="179">
        <f t="shared" si="124"/>
        <v>2.0223779873207781</v>
      </c>
      <c r="BC104" s="179">
        <f t="shared" si="125"/>
        <v>0.98253863884001125</v>
      </c>
      <c r="BD104" s="179"/>
      <c r="BE104" s="546">
        <f t="shared" si="126"/>
        <v>0.10344394963779169</v>
      </c>
      <c r="BF104" s="546">
        <f t="shared" si="127"/>
        <v>9.4340882069666065E-2</v>
      </c>
      <c r="BG104" s="546">
        <f t="shared" si="128"/>
        <v>2.6271479273089963E-3</v>
      </c>
      <c r="BH104" s="546">
        <f t="shared" si="129"/>
        <v>1.6729783087020781E-2</v>
      </c>
      <c r="BI104">
        <f t="shared" si="130"/>
        <v>6.96E-3</v>
      </c>
      <c r="BJ104">
        <f t="shared" si="164"/>
        <v>0.24691702393630174</v>
      </c>
      <c r="BK104" s="472">
        <f t="shared" si="150"/>
        <v>246.91702393630175</v>
      </c>
      <c r="BL104" s="179">
        <f t="shared" si="132"/>
        <v>0.38412000000000002</v>
      </c>
      <c r="BM104" s="179">
        <f t="shared" si="133"/>
        <v>0.19206000000000001</v>
      </c>
      <c r="BN104" s="546"/>
      <c r="BP104" s="472">
        <f t="shared" si="151"/>
        <v>576.18000000000006</v>
      </c>
      <c r="BQ104" s="546">
        <f t="shared" si="134"/>
        <v>5.9110828364452396E-2</v>
      </c>
      <c r="BR104" s="546">
        <f t="shared" si="135"/>
        <v>0.16360050894398565</v>
      </c>
      <c r="BS104" s="546">
        <f t="shared" si="136"/>
        <v>9.6538217681358215E-2</v>
      </c>
      <c r="BT104" s="546">
        <f t="shared" si="137"/>
        <v>8.8233689138737359E-2</v>
      </c>
      <c r="BU104" s="546">
        <f t="shared" si="165"/>
        <v>0.45747714061197947</v>
      </c>
      <c r="BV104" s="655">
        <f t="shared" si="139"/>
        <v>4.7288662691561942E-2</v>
      </c>
      <c r="BW104" s="472">
        <f t="shared" si="152"/>
        <v>504.76580330354136</v>
      </c>
      <c r="BX104" s="179">
        <f t="shared" si="153"/>
        <v>1.3278628272398432</v>
      </c>
      <c r="BY104" s="6">
        <f t="shared" si="154"/>
        <v>6.5834999999999999</v>
      </c>
      <c r="BZ104" s="179">
        <f t="shared" si="155"/>
        <v>0.83215751113476422</v>
      </c>
      <c r="CA104" s="6">
        <f t="shared" si="156"/>
        <v>83.215751113476415</v>
      </c>
      <c r="CB104">
        <f t="shared" si="157"/>
        <v>99</v>
      </c>
      <c r="CD104" s="581">
        <f t="shared" si="140"/>
        <v>-50</v>
      </c>
      <c r="CE104">
        <f t="shared" si="141"/>
        <v>-50</v>
      </c>
    </row>
    <row r="105" spans="5:83" x14ac:dyDescent="0.2">
      <c r="E105" s="176">
        <v>100</v>
      </c>
      <c r="F105" s="223">
        <f t="shared" si="167"/>
        <v>1</v>
      </c>
      <c r="G105" s="223">
        <f t="shared" si="142"/>
        <v>0.5</v>
      </c>
      <c r="H105" s="223">
        <f t="shared" si="95"/>
        <v>5</v>
      </c>
      <c r="I105" s="223">
        <f t="shared" si="159"/>
        <v>1.65</v>
      </c>
      <c r="J105" s="559">
        <f t="shared" si="96"/>
        <v>24</v>
      </c>
      <c r="K105" s="454">
        <f t="shared" si="97"/>
        <v>15.461591949799306</v>
      </c>
      <c r="L105" s="454">
        <f t="shared" si="98"/>
        <v>39.9</v>
      </c>
      <c r="M105" s="454"/>
      <c r="N105" s="223">
        <f t="shared" si="99"/>
        <v>0.39849624060150374</v>
      </c>
      <c r="O105" s="178">
        <f t="shared" si="166"/>
        <v>4.8538639832664359</v>
      </c>
      <c r="P105" s="178">
        <f t="shared" si="100"/>
        <v>2.1303609022556387</v>
      </c>
      <c r="Q105" s="223">
        <f t="shared" si="101"/>
        <v>0.9707727966532872</v>
      </c>
      <c r="R105" s="223">
        <f t="shared" si="102"/>
        <v>1.4708678737171019</v>
      </c>
      <c r="S105" s="454">
        <f t="shared" si="103"/>
        <v>4.8538639832664359</v>
      </c>
      <c r="T105" s="223">
        <f t="shared" si="104"/>
        <v>1.5</v>
      </c>
      <c r="U105" s="223">
        <f t="shared" si="105"/>
        <v>1.875</v>
      </c>
      <c r="V105" s="223">
        <f t="shared" si="106"/>
        <v>2.9104376927101683</v>
      </c>
      <c r="W105" s="203">
        <f t="shared" si="107"/>
        <v>350</v>
      </c>
      <c r="X105" s="454">
        <f t="shared" si="144"/>
        <v>208.96730126135304</v>
      </c>
      <c r="Z105" s="223">
        <f t="shared" si="108"/>
        <v>0.89557414826294168</v>
      </c>
      <c r="AA105" s="179">
        <f t="shared" si="109"/>
        <v>1.7376751718141801</v>
      </c>
      <c r="AB105" s="179">
        <f t="shared" si="160"/>
        <v>0.81701390502645121</v>
      </c>
      <c r="AC105" s="179"/>
      <c r="AD105" s="179">
        <f t="shared" si="111"/>
        <v>0.58208753854203366</v>
      </c>
      <c r="AE105" s="563">
        <f t="shared" si="161"/>
        <v>3817.6770246418041</v>
      </c>
      <c r="AF105" s="546">
        <f t="shared" si="113"/>
        <v>9.1678787320370284E-2</v>
      </c>
      <c r="AH105" s="179">
        <f t="shared" si="114"/>
        <v>1.1254628677422756</v>
      </c>
      <c r="AI105" s="179">
        <f t="shared" si="162"/>
        <v>1.5</v>
      </c>
      <c r="AJ105" s="179">
        <f t="shared" si="163"/>
        <v>2.0888888888888886</v>
      </c>
      <c r="AL105" s="563">
        <f t="shared" si="117"/>
        <v>1000</v>
      </c>
      <c r="AM105" s="472">
        <f t="shared" si="118"/>
        <v>208.96730126135304</v>
      </c>
      <c r="AO105" t="str">
        <f t="shared" si="145"/>
        <v/>
      </c>
      <c r="AP105" s="4" t="str">
        <f t="shared" si="119"/>
        <v/>
      </c>
      <c r="AR105" s="6">
        <f t="shared" si="146"/>
        <v>4.7854376927101692</v>
      </c>
      <c r="AS105" s="6">
        <f t="shared" si="120"/>
        <v>1.875</v>
      </c>
      <c r="AT105" s="6">
        <f t="shared" si="147"/>
        <v>2.9104376927101692</v>
      </c>
      <c r="AU105" s="179">
        <f t="shared" si="148"/>
        <v>0.3918136898650369</v>
      </c>
      <c r="AW105" s="6">
        <f t="shared" si="121"/>
        <v>37.5</v>
      </c>
      <c r="AX105" s="6">
        <f t="shared" si="122"/>
        <v>28.409090909090907</v>
      </c>
      <c r="AY105" s="6">
        <f t="shared" si="123"/>
        <v>0.56142702405674549</v>
      </c>
      <c r="AZ105" s="6"/>
      <c r="BA105" s="179">
        <f t="shared" si="149"/>
        <v>0.54208880028900952</v>
      </c>
      <c r="BB105" s="179">
        <f t="shared" si="124"/>
        <v>2.0261435273472115</v>
      </c>
      <c r="BC105" s="179">
        <f t="shared" si="125"/>
        <v>0.98436806370285346</v>
      </c>
      <c r="BD105" s="179"/>
      <c r="BE105" s="546">
        <f t="shared" si="126"/>
        <v>0.10285109358957216</v>
      </c>
      <c r="BF105" s="546">
        <f t="shared" si="127"/>
        <v>9.3800197353689829E-2</v>
      </c>
      <c r="BG105" s="546">
        <f t="shared" si="128"/>
        <v>2.6120912657669128E-3</v>
      </c>
      <c r="BH105" s="546">
        <f t="shared" si="129"/>
        <v>1.6633901664054332E-2</v>
      </c>
      <c r="BI105">
        <f t="shared" si="130"/>
        <v>6.96E-3</v>
      </c>
      <c r="BJ105">
        <f t="shared" si="164"/>
        <v>0.24549096493128164</v>
      </c>
      <c r="BK105" s="472">
        <f t="shared" si="150"/>
        <v>245.49096493128164</v>
      </c>
      <c r="BL105" s="179">
        <f t="shared" si="132"/>
        <v>0.38800000000000001</v>
      </c>
      <c r="BM105" s="179">
        <f t="shared" si="133"/>
        <v>0.19400000000000001</v>
      </c>
      <c r="BN105" s="546"/>
      <c r="BP105" s="472">
        <f t="shared" si="151"/>
        <v>582.00000000000011</v>
      </c>
      <c r="BQ105" s="546">
        <f t="shared" si="134"/>
        <v>5.8772053479755532E-2</v>
      </c>
      <c r="BR105" s="546">
        <f t="shared" si="135"/>
        <v>0.16421030373644002</v>
      </c>
      <c r="BS105" s="546">
        <f t="shared" si="136"/>
        <v>9.6898048483810506E-2</v>
      </c>
      <c r="BT105" s="546">
        <f t="shared" si="137"/>
        <v>8.6974909787025725E-2</v>
      </c>
      <c r="BU105" s="546">
        <f t="shared" si="165"/>
        <v>0.45693410553558389</v>
      </c>
      <c r="BV105" s="655">
        <f t="shared" si="139"/>
        <v>4.7017642783804436E-2</v>
      </c>
      <c r="BW105" s="472">
        <f t="shared" si="152"/>
        <v>503.95174831938829</v>
      </c>
      <c r="BX105" s="179">
        <f t="shared" si="153"/>
        <v>1.3314427132506699</v>
      </c>
      <c r="BY105" s="6">
        <f t="shared" si="154"/>
        <v>6.65</v>
      </c>
      <c r="BZ105" s="179">
        <f t="shared" si="155"/>
        <v>0.83318270128779737</v>
      </c>
      <c r="CA105" s="6">
        <f t="shared" si="156"/>
        <v>83.31827012877973</v>
      </c>
      <c r="CB105">
        <f t="shared" si="157"/>
        <v>100</v>
      </c>
      <c r="CD105" s="581">
        <f t="shared" si="140"/>
        <v>-50</v>
      </c>
      <c r="CE105">
        <f t="shared" si="141"/>
        <v>-50</v>
      </c>
    </row>
    <row r="106" spans="5:83" x14ac:dyDescent="0.2">
      <c r="E106" s="176"/>
      <c r="F106" s="223"/>
      <c r="G106" s="223"/>
      <c r="H106" s="223"/>
      <c r="I106" s="223"/>
      <c r="J106" s="559"/>
      <c r="K106" s="454"/>
      <c r="L106" s="454"/>
      <c r="M106" s="454"/>
      <c r="N106" s="223"/>
      <c r="O106" s="178"/>
      <c r="P106" s="178"/>
      <c r="Q106" s="223"/>
      <c r="R106" s="223"/>
      <c r="S106" s="223"/>
      <c r="T106" s="223"/>
      <c r="U106" s="223"/>
      <c r="V106" s="223"/>
      <c r="W106" s="203"/>
      <c r="X106" s="454"/>
      <c r="Z106" s="223"/>
      <c r="AA106" s="179"/>
      <c r="AB106" s="179"/>
      <c r="AC106" s="179"/>
      <c r="AD106" s="179"/>
      <c r="AE106" s="563"/>
      <c r="AF106" s="546"/>
      <c r="AH106" s="179"/>
      <c r="AI106" s="179"/>
      <c r="AJ106" s="179"/>
      <c r="AL106" s="563"/>
      <c r="AM106" s="472"/>
      <c r="AP106" s="4"/>
      <c r="AR106" s="6"/>
      <c r="AS106" s="6"/>
      <c r="AT106" s="6"/>
      <c r="AU106" s="179"/>
      <c r="AW106" s="6"/>
      <c r="AX106" s="6"/>
      <c r="AY106" s="6"/>
      <c r="AZ106" s="6"/>
      <c r="BA106" s="179"/>
      <c r="BB106" s="179"/>
      <c r="BC106" s="179"/>
      <c r="BD106" s="179"/>
      <c r="BE106" s="546"/>
      <c r="BF106" s="546"/>
      <c r="BG106" s="546"/>
      <c r="BH106" s="546"/>
      <c r="BK106" s="472"/>
      <c r="BL106" s="179"/>
      <c r="BM106" s="179"/>
      <c r="BN106" s="546"/>
      <c r="BP106" s="472"/>
      <c r="BQ106" s="546"/>
      <c r="BR106" s="546"/>
      <c r="BS106" s="546"/>
      <c r="BT106" s="546"/>
      <c r="BU106" s="546"/>
      <c r="BV106" s="655"/>
      <c r="BW106" s="472"/>
      <c r="BX106" s="179"/>
      <c r="BY106" s="6"/>
      <c r="BZ106" s="179"/>
      <c r="CA106" s="6"/>
    </row>
    <row r="107" spans="5:83" x14ac:dyDescent="0.2">
      <c r="G107" s="223"/>
      <c r="H107" s="223"/>
      <c r="I107" s="223"/>
      <c r="J107" s="559"/>
      <c r="K107" s="454"/>
      <c r="L107" s="454"/>
      <c r="M107" s="454"/>
      <c r="N107" s="223"/>
      <c r="O107" s="178"/>
      <c r="P107" s="178"/>
      <c r="Q107" s="223"/>
      <c r="R107" s="223"/>
      <c r="S107" s="223"/>
      <c r="T107" s="223"/>
      <c r="U107" s="223"/>
      <c r="V107" s="223"/>
      <c r="W107" s="203"/>
      <c r="X107" s="454"/>
      <c r="Z107" s="223"/>
      <c r="AA107" s="179"/>
      <c r="AB107" s="179"/>
      <c r="AC107" s="179"/>
      <c r="AD107" s="179"/>
      <c r="AE107" s="563"/>
      <c r="AF107" s="546"/>
      <c r="AH107" s="179"/>
      <c r="AI107" s="179"/>
      <c r="AJ107" s="179"/>
      <c r="AL107" s="563"/>
      <c r="AM107" s="472"/>
      <c r="AR107" s="6"/>
      <c r="AS107" s="6"/>
      <c r="AT107" s="6"/>
      <c r="AU107" s="179"/>
      <c r="AW107" s="6"/>
      <c r="AX107" s="6"/>
      <c r="AY107" s="6"/>
      <c r="AZ107" s="6"/>
      <c r="BA107" s="179"/>
      <c r="BB107" s="179"/>
      <c r="BC107" s="179"/>
      <c r="BD107" s="179"/>
      <c r="BE107" s="546"/>
      <c r="BF107" s="546"/>
      <c r="BG107" s="546"/>
      <c r="BH107" s="546"/>
      <c r="BK107" s="472"/>
      <c r="BL107" s="179"/>
      <c r="BM107" s="179"/>
      <c r="BN107" s="546"/>
      <c r="BP107" s="472"/>
      <c r="BQ107" s="546"/>
      <c r="BR107" s="546"/>
      <c r="BS107" s="546"/>
      <c r="BT107" s="546"/>
      <c r="BU107" s="546"/>
      <c r="BV107" s="655"/>
      <c r="BW107" s="472"/>
      <c r="BX107" s="179"/>
      <c r="BY107" s="6"/>
      <c r="BZ107" s="179"/>
      <c r="CA107" s="6"/>
    </row>
    <row r="108" spans="5:83" x14ac:dyDescent="0.2">
      <c r="E108" s="456" t="s">
        <v>447</v>
      </c>
      <c r="G108" s="223"/>
      <c r="H108" s="223"/>
      <c r="I108" s="223"/>
      <c r="J108" s="559"/>
      <c r="K108" s="454"/>
      <c r="L108" s="454"/>
      <c r="M108" s="454"/>
      <c r="N108" s="223"/>
      <c r="O108" s="178"/>
      <c r="P108" s="178"/>
      <c r="Q108" s="223"/>
      <c r="R108" s="223"/>
      <c r="S108" s="223"/>
      <c r="T108" s="223"/>
      <c r="U108" s="223"/>
      <c r="V108" s="223"/>
      <c r="W108" s="203"/>
      <c r="X108" s="454"/>
      <c r="Z108" s="223"/>
      <c r="AA108" s="179"/>
      <c r="AB108" s="179"/>
      <c r="AC108" s="179"/>
      <c r="AD108" s="179"/>
      <c r="AE108" s="563"/>
      <c r="AF108" s="546"/>
      <c r="AH108" s="179"/>
      <c r="AI108" s="179"/>
      <c r="AJ108" s="179"/>
      <c r="AL108" s="563"/>
      <c r="AM108" s="472"/>
      <c r="AR108" s="6"/>
      <c r="AS108" s="6"/>
      <c r="AT108" s="6"/>
      <c r="AU108" s="179"/>
      <c r="AW108" s="551" t="s">
        <v>483</v>
      </c>
      <c r="AX108" s="551" t="s">
        <v>483</v>
      </c>
      <c r="AY108" s="551"/>
      <c r="AZ108" s="551"/>
      <c r="BA108" s="577" t="s">
        <v>484</v>
      </c>
      <c r="BB108" s="551"/>
      <c r="BC108" s="551"/>
      <c r="BD108" s="551"/>
      <c r="BE108" s="577" t="s">
        <v>508</v>
      </c>
      <c r="BF108" s="551"/>
      <c r="BG108" s="551"/>
      <c r="BH108" s="551"/>
      <c r="BI108" s="551"/>
      <c r="BJ108" s="551"/>
      <c r="BK108" s="551"/>
      <c r="BL108" s="577" t="s">
        <v>504</v>
      </c>
      <c r="BM108" s="551"/>
      <c r="BN108" s="551"/>
      <c r="BO108" s="551"/>
      <c r="BP108" s="551"/>
      <c r="BQ108" s="578" t="s">
        <v>505</v>
      </c>
      <c r="BR108" s="551"/>
      <c r="BS108" s="551"/>
      <c r="BT108" s="551"/>
      <c r="BU108" s="551"/>
      <c r="BV108" s="551"/>
      <c r="BW108" s="551"/>
      <c r="BX108" s="577"/>
      <c r="BY108" s="551"/>
      <c r="BZ108" s="551"/>
      <c r="CA108" s="551"/>
      <c r="CB108" s="551"/>
    </row>
    <row r="109" spans="5:83" ht="45" customHeight="1" thickBot="1" x14ac:dyDescent="0.25">
      <c r="E109" s="247" t="s">
        <v>25</v>
      </c>
      <c r="F109" s="624" t="s">
        <v>603</v>
      </c>
      <c r="G109" s="455" t="s">
        <v>602</v>
      </c>
      <c r="H109" s="625" t="s">
        <v>604</v>
      </c>
      <c r="I109" s="626" t="s">
        <v>605</v>
      </c>
      <c r="J109" s="248" t="s">
        <v>425</v>
      </c>
      <c r="K109" s="249" t="s">
        <v>431</v>
      </c>
      <c r="L109" s="545" t="s">
        <v>426</v>
      </c>
      <c r="M109" s="545"/>
      <c r="N109" s="250" t="s">
        <v>48</v>
      </c>
      <c r="O109" s="628" t="s">
        <v>613</v>
      </c>
      <c r="P109" s="628" t="s">
        <v>629</v>
      </c>
      <c r="Q109" s="545" t="s">
        <v>416</v>
      </c>
      <c r="R109" s="628" t="s">
        <v>607</v>
      </c>
      <c r="S109" s="545" t="s">
        <v>446</v>
      </c>
      <c r="T109" s="628" t="s">
        <v>427</v>
      </c>
      <c r="U109" s="545" t="s">
        <v>479</v>
      </c>
      <c r="V109" s="545" t="s">
        <v>478</v>
      </c>
      <c r="W109" s="565" t="s">
        <v>433</v>
      </c>
      <c r="X109" s="560" t="s">
        <v>438</v>
      </c>
      <c r="Z109" s="251" t="s">
        <v>430</v>
      </c>
      <c r="AA109" s="251" t="s">
        <v>477</v>
      </c>
      <c r="AB109" s="251" t="s">
        <v>610</v>
      </c>
      <c r="AC109" s="562"/>
      <c r="AD109" s="251" t="s">
        <v>476</v>
      </c>
      <c r="AE109" s="629" t="s">
        <v>439</v>
      </c>
      <c r="AF109" s="251" t="s">
        <v>611</v>
      </c>
      <c r="AG109" s="562"/>
      <c r="AH109" s="179"/>
      <c r="AI109" s="566" t="s">
        <v>443</v>
      </c>
      <c r="AJ109" s="566" t="s">
        <v>444</v>
      </c>
      <c r="AL109" s="561" t="s">
        <v>276</v>
      </c>
      <c r="AM109" s="561" t="s">
        <v>445</v>
      </c>
      <c r="AO109" s="251" t="s">
        <v>276</v>
      </c>
      <c r="AP109" s="251" t="s">
        <v>445</v>
      </c>
      <c r="AQ109" s="567"/>
      <c r="AR109" s="251" t="s">
        <v>480</v>
      </c>
      <c r="AS109" s="251" t="s">
        <v>474</v>
      </c>
      <c r="AT109" s="251" t="s">
        <v>475</v>
      </c>
      <c r="AU109" s="251" t="s">
        <v>48</v>
      </c>
      <c r="AV109" s="562"/>
      <c r="AW109" s="251" t="s">
        <v>614</v>
      </c>
      <c r="AX109" s="251" t="s">
        <v>615</v>
      </c>
      <c r="AY109" s="251" t="s">
        <v>531</v>
      </c>
      <c r="AZ109" s="562"/>
      <c r="BA109" s="576" t="s">
        <v>469</v>
      </c>
      <c r="BB109" s="251" t="s">
        <v>622</v>
      </c>
      <c r="BC109" s="251" t="s">
        <v>621</v>
      </c>
      <c r="BD109" s="562"/>
      <c r="BE109" s="576" t="s">
        <v>487</v>
      </c>
      <c r="BF109" s="251" t="s">
        <v>488</v>
      </c>
      <c r="BG109" s="251" t="s">
        <v>486</v>
      </c>
      <c r="BH109" s="251" t="s">
        <v>482</v>
      </c>
      <c r="BI109" s="251" t="s">
        <v>491</v>
      </c>
      <c r="BJ109" s="251"/>
      <c r="BK109" s="251" t="s">
        <v>506</v>
      </c>
      <c r="BL109" s="576" t="s">
        <v>624</v>
      </c>
      <c r="BM109" s="251" t="s">
        <v>623</v>
      </c>
      <c r="BN109" s="251" t="s">
        <v>490</v>
      </c>
      <c r="BO109" s="251" t="s">
        <v>498</v>
      </c>
      <c r="BP109" s="251" t="s">
        <v>502</v>
      </c>
      <c r="BQ109" s="576" t="s">
        <v>471</v>
      </c>
      <c r="BR109" s="251" t="s">
        <v>626</v>
      </c>
      <c r="BS109" s="251" t="s">
        <v>625</v>
      </c>
      <c r="BT109" s="251" t="s">
        <v>481</v>
      </c>
      <c r="BU109" s="251"/>
      <c r="BV109" s="251" t="s">
        <v>499</v>
      </c>
      <c r="BW109" s="251" t="s">
        <v>501</v>
      </c>
      <c r="BX109" s="576" t="s">
        <v>497</v>
      </c>
      <c r="BY109" s="251" t="s">
        <v>224</v>
      </c>
      <c r="BZ109" s="251" t="s">
        <v>47</v>
      </c>
      <c r="CA109" s="251" t="s">
        <v>500</v>
      </c>
      <c r="CB109" s="251" t="s">
        <v>627</v>
      </c>
      <c r="CD109" s="589" t="s">
        <v>513</v>
      </c>
    </row>
    <row r="110" spans="5:83" x14ac:dyDescent="0.2">
      <c r="E110" s="176">
        <v>0.1</v>
      </c>
      <c r="F110" s="223">
        <v>1.0000000000000001E-9</v>
      </c>
      <c r="G110" s="223">
        <f t="shared" ref="G110:G141" si="168">IF(PLOT_TYPE=1, E110/100*Iout2, min_I*EXP(Q110*rr/100))</f>
        <v>5.0000000000000001E-4</v>
      </c>
      <c r="H110" s="223">
        <f t="shared" ref="H110:H141" si="169">F110*Vout</f>
        <v>5.0000000000000001E-9</v>
      </c>
      <c r="I110" s="223">
        <f t="shared" ref="I110:I141" si="170">Vout2*G110</f>
        <v>1.65E-3</v>
      </c>
      <c r="J110" s="559">
        <f t="shared" ref="J110:J173" si="171">VIN_min</f>
        <v>12</v>
      </c>
      <c r="K110" s="454">
        <f t="shared" ref="K110:K173" si="172">(S110+Vfwd1)*Nps</f>
        <v>15.899999999999999</v>
      </c>
      <c r="L110" s="454">
        <f t="shared" ref="L110:L173" si="173">(Vout+Vfwd1)*Nps+J110</f>
        <v>27.9</v>
      </c>
      <c r="M110" s="454"/>
      <c r="N110" s="223">
        <f t="shared" ref="N110:N173" si="174">(Vout+Vfwd1)*Nps/((Vout+Vfwd1)*Nps+J110)</f>
        <v>0.56989247311827951</v>
      </c>
      <c r="O110" s="178">
        <f>N110*J110*Isw_max*0.82*0.5*Efficiency*Pout/(Pout+Pout2)</f>
        <v>2.8460344409410614</v>
      </c>
      <c r="P110" s="178">
        <f>N110*J110*Isw_max*0.82*0.5*Efficiency*(Pout2/Pout_total)</f>
        <v>1.2491245161290319</v>
      </c>
      <c r="Q110" s="223">
        <f t="shared" ref="Q110:Q173" si="175">O110/Vout</f>
        <v>0.5692068881882123</v>
      </c>
      <c r="R110" s="223">
        <f t="shared" ref="R110:R141" si="176">O110/Vout2</f>
        <v>0.86243467907304894</v>
      </c>
      <c r="S110" s="223">
        <f t="shared" ref="S110:S141" si="177">MIN(Vout,O110/F110)</f>
        <v>5</v>
      </c>
      <c r="T110" s="223">
        <f t="shared" ref="T110:T141" si="178">MIN(2*(Vout*F110+Vout2*G110)/(Efficiency*J110*N110), Isw_max)</f>
        <v>5.3616514675052418E-4</v>
      </c>
      <c r="U110" s="223">
        <f t="shared" ref="U110:U173" si="179">L*T110/J110*1000000</f>
        <v>1.3404128668763103E-3</v>
      </c>
      <c r="V110" s="223">
        <f t="shared" ref="V110:V173" si="180">L*T110/K110*1000000</f>
        <v>1.0116323523594796E-3</v>
      </c>
      <c r="W110" s="203">
        <f t="shared" ref="W110:W173" si="181">IF(1/((350000*L)*(1/J110+1/K110))&gt;Isw_min, 350, 0.001/((Isw_min*L)*(1/J110+1/K110)))</f>
        <v>350</v>
      </c>
      <c r="X110" s="454">
        <f t="shared" ref="X110:X173" si="182">MIN(1/(U110+V110)*1000, 350)</f>
        <v>350</v>
      </c>
      <c r="Z110" s="223">
        <f t="shared" ref="Z110:Z173" si="183">1/((W110*1000*L)*(1/J110+1/K110))</f>
        <v>0.65130568356374818</v>
      </c>
      <c r="AA110" s="179">
        <f t="shared" ref="AA110:AA173" si="184">L*Z110/K110*1000000</f>
        <v>1.2288786482334872</v>
      </c>
      <c r="AB110" s="179">
        <f t="shared" ref="AB110:AB141" si="185">0.5*AA110*Z110*Nps*W110/1000*(Pout/(Pout+Pout2))</f>
        <v>0.31593775579129196</v>
      </c>
      <c r="AC110" s="179"/>
      <c r="AD110" s="179">
        <f t="shared" ref="AD110:AD173" si="186">L*Isw_min/K110*1000000</f>
        <v>0.5660377358490567</v>
      </c>
      <c r="AE110" s="563">
        <f t="shared" ref="AE110:AE141" si="187">MAX(10, F110/(0.5*AD110/1000000*Isw_min*Nps)/1000*Pout_total/Pout)</f>
        <v>10</v>
      </c>
      <c r="AF110" s="546">
        <f t="shared" ref="AF110:AF141" si="188">0.5*AD110/1000000*Isw_min*Nps*W110*1000*(Pout/Pout_total)</f>
        <v>8.9150943396226423E-2</v>
      </c>
      <c r="AH110" s="179">
        <f t="shared" ref="AH110:AH141" si="189">SQRT((H110+I110)/(0.5*L*Fsw_DCM))</f>
        <v>1.7728132069303484E-2</v>
      </c>
      <c r="AI110" s="179">
        <f t="shared" ref="AI110:AI141" si="190">MAX(IF(F110&gt;AB110,T110,AH110),Isw_min)</f>
        <v>0.3</v>
      </c>
      <c r="AJ110" s="179">
        <f t="shared" ref="AJ110:AJ141" si="191">IF(F110&gt;AF110, (AI110-Isw_min)/1.08*0.8+1.2, AE110*0.2/350+1)</f>
        <v>1.0057142857142858</v>
      </c>
      <c r="AL110" s="563">
        <f t="shared" ref="AL110:AL141" si="192">F110*1000</f>
        <v>1.0000000000000002E-6</v>
      </c>
      <c r="AM110" s="472">
        <f t="shared" ref="AM110:AM141" si="193">IF(F110&gt;AF110, X110, AE110)</f>
        <v>10</v>
      </c>
      <c r="AO110" s="472">
        <f t="shared" ref="AO110:AO173" si="194">IF(H110&gt;O110, "",AL110)</f>
        <v>1.0000000000000002E-6</v>
      </c>
      <c r="AP110" s="472">
        <f t="shared" ref="AP110:AP173" si="195">IF(H110&gt;O110, "",AM110)</f>
        <v>10</v>
      </c>
      <c r="AR110" s="6">
        <f t="shared" si="146"/>
        <v>100</v>
      </c>
      <c r="AS110" s="6">
        <f t="shared" ref="AS110:AS114" si="196">L*AI110/J110*1000000</f>
        <v>0.75</v>
      </c>
      <c r="AT110" s="6">
        <f t="shared" ref="AT110:AT114" si="197">AR110-AS110</f>
        <v>99.25</v>
      </c>
      <c r="AU110" s="179">
        <f t="shared" ref="AU110:AU114" si="198">AS110/AR110</f>
        <v>7.4999999999999997E-3</v>
      </c>
      <c r="AW110" s="6">
        <f t="shared" ref="AW110:AW169" si="199">F110*AS110/Vout_ripple*1000</f>
        <v>1.5000000000000002E-8</v>
      </c>
      <c r="AX110" s="6">
        <f t="shared" ref="AX110:AX169" si="200">G110*AS110/Vout_ripple2*1000</f>
        <v>1.1363636363636364E-2</v>
      </c>
      <c r="AY110" s="6">
        <f t="shared" ref="AY110:AY169" si="201">H110/Efficiency/J110*AT110/Vinripple1</f>
        <v>3.8290895061728391E-8</v>
      </c>
      <c r="AZ110" s="6"/>
      <c r="BA110" s="179">
        <f t="shared" ref="BA110:BA169" si="202">AI110*SQRT(AU110/3)</f>
        <v>1.4999999999999999E-2</v>
      </c>
      <c r="BB110" s="179">
        <f t="shared" ref="BB110:BB169" si="203">AI110*Npri_sec1*SQRT((1-AU110)/3)*(Pout/Pout_total)</f>
        <v>0.51766301780212187</v>
      </c>
      <c r="BC110" s="179">
        <f t="shared" ref="BC110:BC169" si="204">AI110*Npri_sec2*SQRT((1-AU110)/3)*(Pout2/Pout_total)</f>
        <v>0.2514979494821975</v>
      </c>
      <c r="BD110" s="179"/>
      <c r="BE110" s="546">
        <f t="shared" ref="BE110:BE169" si="205">Rdson*BA110^2</f>
        <v>7.874999999999999E-5</v>
      </c>
      <c r="BF110" s="546">
        <f t="shared" ref="BF110:BF169" si="206">0.5*L110*AI110*AM110*1000*Trise</f>
        <v>6.2774999999999984E-4</v>
      </c>
      <c r="BG110" s="546">
        <f t="shared" ref="BG110:BG169" si="207">Qg*Vdd*AM110*1000</f>
        <v>1.25E-4</v>
      </c>
      <c r="BH110" s="546">
        <f t="shared" ref="BH110:BH169" si="208">0.5*(Coss+Csw)*L110^2*AM110*1000</f>
        <v>3.89205E-4</v>
      </c>
      <c r="BI110">
        <f t="shared" ref="BI110:BI169" si="209">J110*IQ</f>
        <v>3.48E-3</v>
      </c>
      <c r="BK110" s="472">
        <f t="shared" ref="BK110:BK169" si="210">SUM(BE110:BI110)*1000</f>
        <v>4.7007049999999992</v>
      </c>
      <c r="BL110" s="179">
        <f t="shared" ref="BL110:BL169" si="211">Vfwd2*F110</f>
        <v>4.0000000000000007E-10</v>
      </c>
      <c r="BM110" s="179">
        <f t="shared" ref="BM110:BM169" si="212">Vfwd2*G110</f>
        <v>2.0000000000000001E-4</v>
      </c>
      <c r="BN110" s="546"/>
      <c r="BP110" s="472">
        <f t="shared" ref="BP110:BP169" si="213">SUM(BL110:BO110)*1000</f>
        <v>0.20000040000000002</v>
      </c>
      <c r="BQ110" s="546">
        <f t="shared" ref="BQ110:BQ169" si="214">Rdcr_pri*BA110^2</f>
        <v>4.5000000000000003E-5</v>
      </c>
      <c r="BR110" s="546">
        <f t="shared" ref="BR110:BR169" si="215">Rdcr_sec*BB110^2</f>
        <v>1.0718999999999999E-2</v>
      </c>
      <c r="BS110" s="546">
        <f t="shared" ref="BS110:BS169" si="216">Rdcr_sec2*BC110^2</f>
        <v>6.3251218593749969E-3</v>
      </c>
      <c r="BT110" s="546">
        <f t="shared" ref="BT110:BT169" si="217">AI110^2.5*AM110^2.5*k_core</f>
        <v>7.7942286340599532E-7</v>
      </c>
      <c r="BU110" s="546"/>
      <c r="BV110" s="655">
        <f t="shared" ref="BV110:BV141" si="218">0.5*Lleak*0.000000001*AI110^2*AM110*1000</f>
        <v>9.0000000000000006E-5</v>
      </c>
      <c r="BW110" s="472">
        <f t="shared" ref="BW110:BW169" si="219">SUM(BQ110:BV110)*1000</f>
        <v>17.179901282238404</v>
      </c>
      <c r="BX110" s="179">
        <f t="shared" ref="BX110:BX169" si="220">SUM(BE110:BI110,BL110:BO110,BQ110:BV110)</f>
        <v>2.2080606682238404E-2</v>
      </c>
      <c r="BY110" s="6">
        <f t="shared" ref="BY110:BY169" si="221">MIN(H110+I110,O110+P110)</f>
        <v>1.650005E-3</v>
      </c>
      <c r="BZ110" s="179">
        <f t="shared" ref="BZ110:BZ169" si="222">BY110/(BY110+BX110)</f>
        <v>6.9530656103355959E-2</v>
      </c>
      <c r="CA110" s="6">
        <f t="shared" ref="CA110:CA169" si="223">BZ110*100</f>
        <v>6.9530656103355959</v>
      </c>
      <c r="CB110">
        <f t="shared" ref="CB110:CB169" si="224">F110/Iout*100</f>
        <v>1.0000000000000001E-7</v>
      </c>
      <c r="CD110" s="581">
        <f t="shared" ref="CD110:CD141" si="225">IF(ABS(F110-Ioutmax_Vinmin)&lt;Iout/200, AM110, -50)</f>
        <v>-50</v>
      </c>
      <c r="CE110">
        <f t="shared" ref="CE110:CE141" si="226">IF(ABS(F110-Ioutmax_Vinmin)&lt;Iout/200, (O110+P110)*BZ110, -50)</f>
        <v>-50</v>
      </c>
    </row>
    <row r="111" spans="5:83" x14ac:dyDescent="0.2">
      <c r="E111" s="176">
        <v>1</v>
      </c>
      <c r="F111" s="223">
        <f t="shared" ref="F111:F142" si="227">IF(PLOT_TYPE=1, E111/100*Iout_max, min_I*EXP(O111*rr/100))</f>
        <v>0.01</v>
      </c>
      <c r="G111" s="223">
        <f t="shared" si="168"/>
        <v>5.0000000000000001E-3</v>
      </c>
      <c r="H111" s="223">
        <f t="shared" si="169"/>
        <v>0.05</v>
      </c>
      <c r="I111" s="223">
        <f t="shared" si="170"/>
        <v>1.6500000000000001E-2</v>
      </c>
      <c r="J111" s="559">
        <f t="shared" si="171"/>
        <v>12</v>
      </c>
      <c r="K111" s="454">
        <f t="shared" si="172"/>
        <v>15.899999999999999</v>
      </c>
      <c r="L111" s="454">
        <f t="shared" si="173"/>
        <v>27.9</v>
      </c>
      <c r="M111" s="454"/>
      <c r="N111" s="223">
        <f t="shared" si="174"/>
        <v>0.56989247311827951</v>
      </c>
      <c r="O111" s="178">
        <f t="shared" ref="O111:O141" si="228">N111*J111*Isw_max*0.5*Efficiency*Pout/(Pout+Pout2)</f>
        <v>3.4707737084647103</v>
      </c>
      <c r="P111" s="178">
        <f t="shared" ref="P111:P141" si="229">N111*J111*Isw_max*0.5*Efficiency*(Pout2/Pout_total)</f>
        <v>1.5233225806451611</v>
      </c>
      <c r="Q111" s="223">
        <f t="shared" si="175"/>
        <v>0.69415474169294211</v>
      </c>
      <c r="R111" s="223">
        <f t="shared" si="176"/>
        <v>1.0517496086256699</v>
      </c>
      <c r="S111" s="223">
        <f t="shared" si="177"/>
        <v>5</v>
      </c>
      <c r="T111" s="223">
        <f t="shared" si="178"/>
        <v>2.1609014675052413E-2</v>
      </c>
      <c r="U111" s="223">
        <f t="shared" si="179"/>
        <v>5.4022536687631031E-2</v>
      </c>
      <c r="V111" s="223">
        <f t="shared" si="180"/>
        <v>4.0771725801985688E-2</v>
      </c>
      <c r="W111" s="203">
        <f t="shared" si="181"/>
        <v>350</v>
      </c>
      <c r="X111" s="454">
        <f t="shared" si="182"/>
        <v>350</v>
      </c>
      <c r="Z111" s="223">
        <f t="shared" si="183"/>
        <v>0.65130568356374818</v>
      </c>
      <c r="AA111" s="179">
        <f t="shared" si="184"/>
        <v>1.2288786482334872</v>
      </c>
      <c r="AB111" s="179">
        <f t="shared" si="185"/>
        <v>0.31593775579129196</v>
      </c>
      <c r="AC111" s="179"/>
      <c r="AD111" s="179">
        <f t="shared" si="186"/>
        <v>0.5660377358490567</v>
      </c>
      <c r="AE111" s="563">
        <f t="shared" si="187"/>
        <v>39.259259259259252</v>
      </c>
      <c r="AF111" s="546">
        <f t="shared" si="188"/>
        <v>8.9150943396226423E-2</v>
      </c>
      <c r="AH111" s="179">
        <f t="shared" si="189"/>
        <v>0.11254628677422755</v>
      </c>
      <c r="AI111" s="179">
        <f t="shared" si="190"/>
        <v>0.3</v>
      </c>
      <c r="AJ111" s="179">
        <f t="shared" si="191"/>
        <v>1.0224338624338625</v>
      </c>
      <c r="AL111" s="563">
        <f t="shared" si="192"/>
        <v>10</v>
      </c>
      <c r="AM111" s="472">
        <f t="shared" si="193"/>
        <v>39.259259259259252</v>
      </c>
      <c r="AO111" s="472">
        <f t="shared" si="194"/>
        <v>10</v>
      </c>
      <c r="AP111" s="472">
        <f t="shared" si="195"/>
        <v>39.259259259259252</v>
      </c>
      <c r="AR111" s="6">
        <f t="shared" si="146"/>
        <v>25.471698113207552</v>
      </c>
      <c r="AS111" s="6">
        <f t="shared" si="196"/>
        <v>0.75</v>
      </c>
      <c r="AT111" s="6">
        <f t="shared" si="197"/>
        <v>24.721698113207552</v>
      </c>
      <c r="AU111" s="179">
        <f t="shared" si="198"/>
        <v>2.944444444444444E-2</v>
      </c>
      <c r="AW111" s="6">
        <f t="shared" si="199"/>
        <v>0.15</v>
      </c>
      <c r="AX111" s="6">
        <f t="shared" si="200"/>
        <v>0.11363636363636363</v>
      </c>
      <c r="AY111" s="6">
        <f t="shared" si="201"/>
        <v>9.5376921733053829E-2</v>
      </c>
      <c r="AZ111" s="6"/>
      <c r="BA111" s="179">
        <f t="shared" si="202"/>
        <v>2.9720924166878344E-2</v>
      </c>
      <c r="BB111" s="179">
        <f t="shared" si="203"/>
        <v>0.51190819489435802</v>
      </c>
      <c r="BC111" s="179">
        <f t="shared" si="204"/>
        <v>0.24870206468617559</v>
      </c>
      <c r="BD111" s="179"/>
      <c r="BE111" s="546">
        <f t="shared" si="205"/>
        <v>3.0916666666666657E-4</v>
      </c>
      <c r="BF111" s="546">
        <f t="shared" si="206"/>
        <v>2.4644999999999988E-3</v>
      </c>
      <c r="BG111" s="546">
        <f t="shared" si="207"/>
        <v>4.907407407407407E-4</v>
      </c>
      <c r="BH111" s="546">
        <f t="shared" si="208"/>
        <v>1.5279899999999997E-3</v>
      </c>
      <c r="BI111">
        <f t="shared" si="209"/>
        <v>3.48E-3</v>
      </c>
      <c r="BK111" s="472">
        <f t="shared" si="210"/>
        <v>8.2723974074074054</v>
      </c>
      <c r="BL111" s="179">
        <f t="shared" si="211"/>
        <v>4.0000000000000001E-3</v>
      </c>
      <c r="BM111" s="179">
        <f t="shared" si="212"/>
        <v>2E-3</v>
      </c>
      <c r="BN111" s="546"/>
      <c r="BP111" s="472">
        <f t="shared" si="213"/>
        <v>6</v>
      </c>
      <c r="BQ111" s="546">
        <f t="shared" si="214"/>
        <v>1.7666666666666666E-4</v>
      </c>
      <c r="BR111" s="546">
        <f t="shared" si="215"/>
        <v>1.0482E-2</v>
      </c>
      <c r="BS111" s="546">
        <f t="shared" si="216"/>
        <v>6.1852716979166672E-3</v>
      </c>
      <c r="BT111" s="546">
        <f t="shared" si="217"/>
        <v>2.3802818984388882E-5</v>
      </c>
      <c r="BU111" s="546"/>
      <c r="BV111" s="655">
        <f t="shared" si="218"/>
        <v>3.5333333333333332E-4</v>
      </c>
      <c r="BW111" s="472">
        <f t="shared" si="219"/>
        <v>17.221074516901059</v>
      </c>
      <c r="BX111" s="179">
        <f t="shared" si="220"/>
        <v>3.1493471924308465E-2</v>
      </c>
      <c r="BY111" s="6">
        <f t="shared" si="221"/>
        <v>6.6500000000000004E-2</v>
      </c>
      <c r="BZ111" s="179">
        <f t="shared" si="222"/>
        <v>0.67861663327293409</v>
      </c>
      <c r="CA111" s="6">
        <f t="shared" si="223"/>
        <v>67.861663327293414</v>
      </c>
      <c r="CB111">
        <f t="shared" si="224"/>
        <v>1</v>
      </c>
      <c r="CD111" s="581">
        <f t="shared" si="225"/>
        <v>-50</v>
      </c>
      <c r="CE111">
        <f t="shared" si="226"/>
        <v>-50</v>
      </c>
    </row>
    <row r="112" spans="5:83" x14ac:dyDescent="0.2">
      <c r="E112" s="176">
        <v>2</v>
      </c>
      <c r="F112" s="223">
        <f t="shared" si="227"/>
        <v>0.02</v>
      </c>
      <c r="G112" s="223">
        <f t="shared" si="168"/>
        <v>0.01</v>
      </c>
      <c r="H112" s="223">
        <f t="shared" si="169"/>
        <v>0.1</v>
      </c>
      <c r="I112" s="223">
        <f t="shared" si="170"/>
        <v>3.3000000000000002E-2</v>
      </c>
      <c r="J112" s="559">
        <f t="shared" si="171"/>
        <v>12</v>
      </c>
      <c r="K112" s="454">
        <f t="shared" si="172"/>
        <v>15.899999999999999</v>
      </c>
      <c r="L112" s="454">
        <f t="shared" si="173"/>
        <v>27.9</v>
      </c>
      <c r="M112" s="454"/>
      <c r="N112" s="223">
        <f t="shared" si="174"/>
        <v>0.56989247311827951</v>
      </c>
      <c r="O112" s="178">
        <f t="shared" si="228"/>
        <v>3.4707737084647103</v>
      </c>
      <c r="P112" s="178">
        <f t="shared" si="229"/>
        <v>1.5233225806451611</v>
      </c>
      <c r="Q112" s="223">
        <f t="shared" si="175"/>
        <v>0.69415474169294211</v>
      </c>
      <c r="R112" s="223">
        <f t="shared" si="176"/>
        <v>1.0517496086256699</v>
      </c>
      <c r="S112" s="223">
        <f t="shared" si="177"/>
        <v>5</v>
      </c>
      <c r="T112" s="223">
        <f t="shared" si="178"/>
        <v>4.3218029350104825E-2</v>
      </c>
      <c r="U112" s="223">
        <f t="shared" si="179"/>
        <v>0.10804507337526206</v>
      </c>
      <c r="V112" s="223">
        <f t="shared" si="180"/>
        <v>8.1543451603971376E-2</v>
      </c>
      <c r="W112" s="203">
        <f t="shared" si="181"/>
        <v>350</v>
      </c>
      <c r="X112" s="454">
        <f t="shared" si="182"/>
        <v>350</v>
      </c>
      <c r="Z112" s="223">
        <f t="shared" si="183"/>
        <v>0.65130568356374818</v>
      </c>
      <c r="AA112" s="179">
        <f t="shared" si="184"/>
        <v>1.2288786482334872</v>
      </c>
      <c r="AB112" s="179">
        <f t="shared" si="185"/>
        <v>0.31593775579129196</v>
      </c>
      <c r="AC112" s="179"/>
      <c r="AD112" s="179">
        <f t="shared" si="186"/>
        <v>0.5660377358490567</v>
      </c>
      <c r="AE112" s="563">
        <f t="shared" si="187"/>
        <v>78.518518518518505</v>
      </c>
      <c r="AF112" s="546">
        <f t="shared" si="188"/>
        <v>8.9150943396226423E-2</v>
      </c>
      <c r="AH112" s="179">
        <f t="shared" si="189"/>
        <v>0.1591644851508443</v>
      </c>
      <c r="AI112" s="179">
        <f t="shared" si="190"/>
        <v>0.3</v>
      </c>
      <c r="AJ112" s="179">
        <f t="shared" si="191"/>
        <v>1.0448677248677249</v>
      </c>
      <c r="AL112" s="563">
        <f t="shared" si="192"/>
        <v>20</v>
      </c>
      <c r="AM112" s="472">
        <f t="shared" si="193"/>
        <v>78.518518518518505</v>
      </c>
      <c r="AO112" s="472">
        <f t="shared" si="194"/>
        <v>20</v>
      </c>
      <c r="AP112" s="472">
        <f t="shared" si="195"/>
        <v>78.518518518518505</v>
      </c>
      <c r="AR112" s="6">
        <f t="shared" si="146"/>
        <v>12.735849056603776</v>
      </c>
      <c r="AS112" s="6">
        <f t="shared" si="196"/>
        <v>0.75</v>
      </c>
      <c r="AT112" s="6">
        <f t="shared" si="197"/>
        <v>11.985849056603776</v>
      </c>
      <c r="AU112" s="179">
        <f t="shared" si="198"/>
        <v>5.888888888888888E-2</v>
      </c>
      <c r="AW112" s="6">
        <f t="shared" si="199"/>
        <v>0.3</v>
      </c>
      <c r="AX112" s="6">
        <f t="shared" si="200"/>
        <v>0.22727272727272727</v>
      </c>
      <c r="AY112" s="6">
        <f t="shared" si="201"/>
        <v>9.2483403214535312E-2</v>
      </c>
      <c r="AZ112" s="6"/>
      <c r="BA112" s="179">
        <f t="shared" si="202"/>
        <v>4.2031734043061632E-2</v>
      </c>
      <c r="BB112" s="179">
        <f t="shared" si="203"/>
        <v>0.50408332644514231</v>
      </c>
      <c r="BC112" s="179">
        <f t="shared" si="204"/>
        <v>0.24490048276459833</v>
      </c>
      <c r="BD112" s="179"/>
      <c r="BE112" s="546">
        <f t="shared" si="205"/>
        <v>6.1833333333333315E-4</v>
      </c>
      <c r="BF112" s="546">
        <f t="shared" si="206"/>
        <v>4.9289999999999976E-3</v>
      </c>
      <c r="BG112" s="546">
        <f t="shared" si="207"/>
        <v>9.814814814814814E-4</v>
      </c>
      <c r="BH112" s="546">
        <f t="shared" si="208"/>
        <v>3.0559799999999994E-3</v>
      </c>
      <c r="BI112">
        <f t="shared" si="209"/>
        <v>3.48E-3</v>
      </c>
      <c r="BK112" s="472">
        <f t="shared" si="210"/>
        <v>13.064794814814812</v>
      </c>
      <c r="BL112" s="179">
        <f t="shared" si="211"/>
        <v>8.0000000000000002E-3</v>
      </c>
      <c r="BM112" s="179">
        <f t="shared" si="212"/>
        <v>4.0000000000000001E-3</v>
      </c>
      <c r="BN112" s="546"/>
      <c r="BP112" s="472">
        <f t="shared" si="213"/>
        <v>12</v>
      </c>
      <c r="BQ112" s="546">
        <f t="shared" si="214"/>
        <v>3.5333333333333327E-4</v>
      </c>
      <c r="BR112" s="546">
        <f t="shared" si="215"/>
        <v>1.0163999999999996E-2</v>
      </c>
      <c r="BS112" s="546">
        <f t="shared" si="216"/>
        <v>5.997624645833333E-3</v>
      </c>
      <c r="BT112" s="546">
        <f t="shared" si="217"/>
        <v>1.3464907772173807E-4</v>
      </c>
      <c r="BU112" s="546"/>
      <c r="BV112" s="655">
        <f t="shared" si="218"/>
        <v>7.0666666666666664E-4</v>
      </c>
      <c r="BW112" s="472">
        <f t="shared" si="219"/>
        <v>17.35627372355507</v>
      </c>
      <c r="BX112" s="179">
        <f t="shared" si="220"/>
        <v>4.2421068538369876E-2</v>
      </c>
      <c r="BY112" s="6">
        <f t="shared" si="221"/>
        <v>0.13300000000000001</v>
      </c>
      <c r="BZ112" s="179">
        <f t="shared" si="222"/>
        <v>0.7581757488320674</v>
      </c>
      <c r="CA112" s="6">
        <f t="shared" si="223"/>
        <v>75.817574883206746</v>
      </c>
      <c r="CB112">
        <f t="shared" si="224"/>
        <v>2</v>
      </c>
      <c r="CD112" s="581">
        <f t="shared" si="225"/>
        <v>-50</v>
      </c>
      <c r="CE112">
        <f t="shared" si="226"/>
        <v>-50</v>
      </c>
    </row>
    <row r="113" spans="5:83" x14ac:dyDescent="0.2">
      <c r="E113" s="176">
        <v>3</v>
      </c>
      <c r="F113" s="223">
        <f t="shared" si="227"/>
        <v>0.03</v>
      </c>
      <c r="G113" s="223">
        <f t="shared" si="168"/>
        <v>1.4999999999999999E-2</v>
      </c>
      <c r="H113" s="223">
        <f t="shared" si="169"/>
        <v>0.15</v>
      </c>
      <c r="I113" s="223">
        <f t="shared" si="170"/>
        <v>4.9499999999999995E-2</v>
      </c>
      <c r="J113" s="559">
        <f t="shared" si="171"/>
        <v>12</v>
      </c>
      <c r="K113" s="454">
        <f t="shared" si="172"/>
        <v>15.899999999999999</v>
      </c>
      <c r="L113" s="454">
        <f t="shared" si="173"/>
        <v>27.9</v>
      </c>
      <c r="M113" s="454"/>
      <c r="N113" s="223">
        <f t="shared" si="174"/>
        <v>0.56989247311827951</v>
      </c>
      <c r="O113" s="178">
        <f t="shared" si="228"/>
        <v>3.4707737084647103</v>
      </c>
      <c r="P113" s="178">
        <f t="shared" si="229"/>
        <v>1.5233225806451611</v>
      </c>
      <c r="Q113" s="223">
        <f t="shared" si="175"/>
        <v>0.69415474169294211</v>
      </c>
      <c r="R113" s="223">
        <f t="shared" si="176"/>
        <v>1.0517496086256699</v>
      </c>
      <c r="S113" s="223">
        <f t="shared" si="177"/>
        <v>5</v>
      </c>
      <c r="T113" s="223">
        <f t="shared" si="178"/>
        <v>6.4827044025157238E-2</v>
      </c>
      <c r="U113" s="223">
        <f t="shared" si="179"/>
        <v>0.16206761006289311</v>
      </c>
      <c r="V113" s="223">
        <f t="shared" si="180"/>
        <v>0.12231517740595708</v>
      </c>
      <c r="W113" s="203">
        <f t="shared" si="181"/>
        <v>350</v>
      </c>
      <c r="X113" s="454">
        <f t="shared" si="182"/>
        <v>350</v>
      </c>
      <c r="Z113" s="223">
        <f t="shared" si="183"/>
        <v>0.65130568356374818</v>
      </c>
      <c r="AA113" s="179">
        <f t="shared" si="184"/>
        <v>1.2288786482334872</v>
      </c>
      <c r="AB113" s="179">
        <f t="shared" si="185"/>
        <v>0.31593775579129196</v>
      </c>
      <c r="AC113" s="179"/>
      <c r="AD113" s="179">
        <f t="shared" si="186"/>
        <v>0.5660377358490567</v>
      </c>
      <c r="AE113" s="563">
        <f t="shared" si="187"/>
        <v>117.77777777777776</v>
      </c>
      <c r="AF113" s="546">
        <f t="shared" si="188"/>
        <v>8.9150943396226423E-2</v>
      </c>
      <c r="AH113" s="179">
        <f t="shared" si="189"/>
        <v>0.19493588689617927</v>
      </c>
      <c r="AI113" s="179">
        <f t="shared" si="190"/>
        <v>0.3</v>
      </c>
      <c r="AJ113" s="179">
        <f t="shared" si="191"/>
        <v>1.0673015873015872</v>
      </c>
      <c r="AL113" s="563">
        <f t="shared" si="192"/>
        <v>30</v>
      </c>
      <c r="AM113" s="472">
        <f t="shared" si="193"/>
        <v>117.77777777777776</v>
      </c>
      <c r="AO113" s="472">
        <f t="shared" si="194"/>
        <v>30</v>
      </c>
      <c r="AP113" s="472">
        <f t="shared" si="195"/>
        <v>117.77777777777776</v>
      </c>
      <c r="AR113" s="6">
        <f t="shared" si="146"/>
        <v>8.4905660377358512</v>
      </c>
      <c r="AS113" s="6">
        <f t="shared" si="196"/>
        <v>0.75</v>
      </c>
      <c r="AT113" s="6">
        <f t="shared" si="197"/>
        <v>7.7405660377358512</v>
      </c>
      <c r="AU113" s="179">
        <f t="shared" si="198"/>
        <v>8.8333333333333305E-2</v>
      </c>
      <c r="AW113" s="6">
        <f t="shared" si="199"/>
        <v>0.45</v>
      </c>
      <c r="AX113" s="6">
        <f t="shared" si="200"/>
        <v>0.34090909090909088</v>
      </c>
      <c r="AY113" s="6">
        <f t="shared" si="201"/>
        <v>8.9589884696016781E-2</v>
      </c>
      <c r="AZ113" s="6"/>
      <c r="BA113" s="179">
        <f t="shared" si="202"/>
        <v>5.1478150704934993E-2</v>
      </c>
      <c r="BB113" s="179">
        <f t="shared" si="203"/>
        <v>0.49613506225623683</v>
      </c>
      <c r="BC113" s="179">
        <f t="shared" si="204"/>
        <v>0.24103895107948839</v>
      </c>
      <c r="BD113" s="179"/>
      <c r="BE113" s="546">
        <f t="shared" si="205"/>
        <v>9.2749999999999961E-4</v>
      </c>
      <c r="BF113" s="546">
        <f t="shared" si="206"/>
        <v>7.3934999999999973E-3</v>
      </c>
      <c r="BG113" s="546">
        <f t="shared" si="207"/>
        <v>1.4722222222222218E-3</v>
      </c>
      <c r="BH113" s="546">
        <f t="shared" si="208"/>
        <v>4.5839699999999988E-3</v>
      </c>
      <c r="BI113">
        <f t="shared" si="209"/>
        <v>3.48E-3</v>
      </c>
      <c r="BK113" s="472">
        <f t="shared" si="210"/>
        <v>17.857192222222217</v>
      </c>
      <c r="BL113" s="179">
        <f t="shared" si="211"/>
        <v>1.2E-2</v>
      </c>
      <c r="BM113" s="179">
        <f t="shared" si="212"/>
        <v>6.0000000000000001E-3</v>
      </c>
      <c r="BN113" s="546"/>
      <c r="BP113" s="472">
        <f t="shared" si="213"/>
        <v>18.000000000000004</v>
      </c>
      <c r="BQ113" s="546">
        <f t="shared" si="214"/>
        <v>5.2999999999999987E-4</v>
      </c>
      <c r="BR113" s="546">
        <f t="shared" si="215"/>
        <v>9.8459999999999989E-3</v>
      </c>
      <c r="BS113" s="546">
        <f t="shared" si="216"/>
        <v>5.8099775937499997E-3</v>
      </c>
      <c r="BT113" s="546">
        <f t="shared" si="217"/>
        <v>3.7104922659893897E-4</v>
      </c>
      <c r="BU113" s="546"/>
      <c r="BV113" s="655">
        <f t="shared" si="218"/>
        <v>1.06E-3</v>
      </c>
      <c r="BW113" s="472">
        <f t="shared" si="219"/>
        <v>17.617026820348936</v>
      </c>
      <c r="BX113" s="179">
        <f t="shared" si="220"/>
        <v>5.3474219042571158E-2</v>
      </c>
      <c r="BY113" s="6">
        <f t="shared" si="221"/>
        <v>0.19949999999999998</v>
      </c>
      <c r="BZ113" s="179">
        <f t="shared" si="222"/>
        <v>0.78861791037460482</v>
      </c>
      <c r="CA113" s="6">
        <f t="shared" si="223"/>
        <v>78.861791037460478</v>
      </c>
      <c r="CB113">
        <f t="shared" si="224"/>
        <v>3</v>
      </c>
      <c r="CD113" s="581">
        <f t="shared" si="225"/>
        <v>-50</v>
      </c>
      <c r="CE113">
        <f t="shared" si="226"/>
        <v>-50</v>
      </c>
    </row>
    <row r="114" spans="5:83" x14ac:dyDescent="0.2">
      <c r="E114" s="176">
        <v>4</v>
      </c>
      <c r="F114" s="223">
        <f t="shared" si="227"/>
        <v>0.04</v>
      </c>
      <c r="G114" s="223">
        <f t="shared" si="168"/>
        <v>0.02</v>
      </c>
      <c r="H114" s="223">
        <f t="shared" si="169"/>
        <v>0.2</v>
      </c>
      <c r="I114" s="223">
        <f t="shared" si="170"/>
        <v>6.6000000000000003E-2</v>
      </c>
      <c r="J114" s="559">
        <f t="shared" si="171"/>
        <v>12</v>
      </c>
      <c r="K114" s="454">
        <f t="shared" si="172"/>
        <v>15.899999999999999</v>
      </c>
      <c r="L114" s="454">
        <f t="shared" si="173"/>
        <v>27.9</v>
      </c>
      <c r="M114" s="454"/>
      <c r="N114" s="223">
        <f t="shared" si="174"/>
        <v>0.56989247311827951</v>
      </c>
      <c r="O114" s="178">
        <f t="shared" si="228"/>
        <v>3.4707737084647103</v>
      </c>
      <c r="P114" s="178">
        <f t="shared" si="229"/>
        <v>1.5233225806451611</v>
      </c>
      <c r="Q114" s="223">
        <f t="shared" si="175"/>
        <v>0.69415474169294211</v>
      </c>
      <c r="R114" s="223">
        <f t="shared" si="176"/>
        <v>1.0517496086256699</v>
      </c>
      <c r="S114" s="223">
        <f t="shared" si="177"/>
        <v>5</v>
      </c>
      <c r="T114" s="223">
        <f t="shared" si="178"/>
        <v>8.643605870020965E-2</v>
      </c>
      <c r="U114" s="223">
        <f t="shared" si="179"/>
        <v>0.21609014675052413</v>
      </c>
      <c r="V114" s="223">
        <f t="shared" si="180"/>
        <v>0.16308690320794275</v>
      </c>
      <c r="W114" s="203">
        <f t="shared" si="181"/>
        <v>350</v>
      </c>
      <c r="X114" s="454">
        <f t="shared" si="182"/>
        <v>350</v>
      </c>
      <c r="Z114" s="223">
        <f t="shared" si="183"/>
        <v>0.65130568356374818</v>
      </c>
      <c r="AA114" s="179">
        <f t="shared" si="184"/>
        <v>1.2288786482334872</v>
      </c>
      <c r="AB114" s="179">
        <f t="shared" si="185"/>
        <v>0.31593775579129196</v>
      </c>
      <c r="AC114" s="179"/>
      <c r="AD114" s="179">
        <f t="shared" si="186"/>
        <v>0.5660377358490567</v>
      </c>
      <c r="AE114" s="563">
        <f t="shared" si="187"/>
        <v>157.03703703703701</v>
      </c>
      <c r="AF114" s="546">
        <f t="shared" si="188"/>
        <v>8.9150943396226423E-2</v>
      </c>
      <c r="AH114" s="179">
        <f t="shared" si="189"/>
        <v>0.2250925735484551</v>
      </c>
      <c r="AI114" s="179">
        <f t="shared" si="190"/>
        <v>0.3</v>
      </c>
      <c r="AJ114" s="179">
        <f t="shared" si="191"/>
        <v>1.0897354497354497</v>
      </c>
      <c r="AL114" s="563">
        <f t="shared" si="192"/>
        <v>40</v>
      </c>
      <c r="AM114" s="472">
        <f t="shared" si="193"/>
        <v>157.03703703703701</v>
      </c>
      <c r="AO114" s="472">
        <f t="shared" si="194"/>
        <v>40</v>
      </c>
      <c r="AP114" s="472">
        <f t="shared" si="195"/>
        <v>157.03703703703701</v>
      </c>
      <c r="AR114" s="6">
        <f t="shared" si="146"/>
        <v>6.3679245283018879</v>
      </c>
      <c r="AS114" s="6">
        <f t="shared" si="196"/>
        <v>0.75</v>
      </c>
      <c r="AT114" s="6">
        <f t="shared" si="197"/>
        <v>5.6179245283018879</v>
      </c>
      <c r="AU114" s="179">
        <f t="shared" si="198"/>
        <v>0.11777777777777776</v>
      </c>
      <c r="AW114" s="6">
        <f t="shared" si="199"/>
        <v>0.6</v>
      </c>
      <c r="AX114" s="6">
        <f t="shared" si="200"/>
        <v>0.45454545454545453</v>
      </c>
      <c r="AY114" s="6">
        <f t="shared" si="201"/>
        <v>8.6696366177498277E-2</v>
      </c>
      <c r="AZ114" s="6"/>
      <c r="BA114" s="179">
        <f t="shared" si="202"/>
        <v>5.9441848333756687E-2</v>
      </c>
      <c r="BB114" s="179">
        <f t="shared" si="203"/>
        <v>0.4880573736764971</v>
      </c>
      <c r="BC114" s="179">
        <f t="shared" si="204"/>
        <v>0.23711454071116481</v>
      </c>
      <c r="BD114" s="179"/>
      <c r="BE114" s="546">
        <f t="shared" si="205"/>
        <v>1.2366666666666663E-3</v>
      </c>
      <c r="BF114" s="546">
        <f t="shared" si="206"/>
        <v>9.8579999999999952E-3</v>
      </c>
      <c r="BG114" s="546">
        <f t="shared" si="207"/>
        <v>1.9629629629629628E-3</v>
      </c>
      <c r="BH114" s="546">
        <f t="shared" si="208"/>
        <v>6.1119599999999987E-3</v>
      </c>
      <c r="BI114">
        <f t="shared" si="209"/>
        <v>3.48E-3</v>
      </c>
      <c r="BK114" s="472">
        <f t="shared" si="210"/>
        <v>22.649589629629624</v>
      </c>
      <c r="BL114" s="179">
        <f t="shared" si="211"/>
        <v>1.6E-2</v>
      </c>
      <c r="BM114" s="179">
        <f t="shared" si="212"/>
        <v>8.0000000000000002E-3</v>
      </c>
      <c r="BN114" s="546"/>
      <c r="BP114" s="472">
        <f t="shared" si="213"/>
        <v>24</v>
      </c>
      <c r="BQ114" s="546">
        <f t="shared" si="214"/>
        <v>7.0666666666666664E-4</v>
      </c>
      <c r="BR114" s="546">
        <f t="shared" si="215"/>
        <v>9.5279999999999965E-3</v>
      </c>
      <c r="BS114" s="546">
        <f t="shared" si="216"/>
        <v>5.6223305416666638E-3</v>
      </c>
      <c r="BT114" s="546">
        <f t="shared" si="217"/>
        <v>7.6169020750044324E-4</v>
      </c>
      <c r="BU114" s="546"/>
      <c r="BV114" s="655">
        <f t="shared" si="218"/>
        <v>1.4133333333333333E-3</v>
      </c>
      <c r="BW114" s="472">
        <f t="shared" si="219"/>
        <v>18.032020749167103</v>
      </c>
      <c r="BX114" s="179">
        <f t="shared" si="220"/>
        <v>6.4681610378796731E-2</v>
      </c>
      <c r="BY114" s="6">
        <f t="shared" si="221"/>
        <v>0.26600000000000001</v>
      </c>
      <c r="BZ114" s="179">
        <f t="shared" si="222"/>
        <v>0.80439913092021131</v>
      </c>
      <c r="CA114" s="6">
        <f t="shared" si="223"/>
        <v>80.439913092021129</v>
      </c>
      <c r="CB114">
        <f t="shared" si="224"/>
        <v>4</v>
      </c>
      <c r="CD114" s="581">
        <f t="shared" si="225"/>
        <v>-50</v>
      </c>
      <c r="CE114">
        <f t="shared" si="226"/>
        <v>-50</v>
      </c>
    </row>
    <row r="115" spans="5:83" x14ac:dyDescent="0.2">
      <c r="E115" s="176">
        <v>5</v>
      </c>
      <c r="F115" s="223">
        <f t="shared" si="227"/>
        <v>0.05</v>
      </c>
      <c r="G115" s="223">
        <f t="shared" si="168"/>
        <v>2.5000000000000001E-2</v>
      </c>
      <c r="H115" s="223">
        <f t="shared" si="169"/>
        <v>0.25</v>
      </c>
      <c r="I115" s="223">
        <f t="shared" si="170"/>
        <v>8.2500000000000004E-2</v>
      </c>
      <c r="J115" s="559">
        <f t="shared" si="171"/>
        <v>12</v>
      </c>
      <c r="K115" s="454">
        <f t="shared" si="172"/>
        <v>15.899999999999999</v>
      </c>
      <c r="L115" s="454">
        <f t="shared" si="173"/>
        <v>27.9</v>
      </c>
      <c r="M115" s="454"/>
      <c r="N115" s="223">
        <f t="shared" si="174"/>
        <v>0.56989247311827951</v>
      </c>
      <c r="O115" s="178">
        <f t="shared" si="228"/>
        <v>3.4707737084647103</v>
      </c>
      <c r="P115" s="178">
        <f t="shared" si="229"/>
        <v>1.5233225806451611</v>
      </c>
      <c r="Q115" s="223">
        <f t="shared" si="175"/>
        <v>0.69415474169294211</v>
      </c>
      <c r="R115" s="223">
        <f t="shared" si="176"/>
        <v>1.0517496086256699</v>
      </c>
      <c r="S115" s="223">
        <f t="shared" si="177"/>
        <v>5</v>
      </c>
      <c r="T115" s="223">
        <f t="shared" si="178"/>
        <v>0.10804507337526206</v>
      </c>
      <c r="U115" s="223">
        <f t="shared" si="179"/>
        <v>0.2701126834381552</v>
      </c>
      <c r="V115" s="223">
        <f t="shared" si="180"/>
        <v>0.20385862900992846</v>
      </c>
      <c r="W115" s="203">
        <f t="shared" si="181"/>
        <v>350</v>
      </c>
      <c r="X115" s="454">
        <f t="shared" si="182"/>
        <v>350</v>
      </c>
      <c r="Z115" s="223">
        <f t="shared" si="183"/>
        <v>0.65130568356374818</v>
      </c>
      <c r="AA115" s="179">
        <f t="shared" si="184"/>
        <v>1.2288786482334872</v>
      </c>
      <c r="AB115" s="179">
        <f t="shared" si="185"/>
        <v>0.31593775579129196</v>
      </c>
      <c r="AC115" s="179"/>
      <c r="AD115" s="179">
        <f t="shared" si="186"/>
        <v>0.5660377358490567</v>
      </c>
      <c r="AE115" s="563">
        <f t="shared" si="187"/>
        <v>196.29629629629628</v>
      </c>
      <c r="AF115" s="546">
        <f t="shared" si="188"/>
        <v>8.9150943396226423E-2</v>
      </c>
      <c r="AH115" s="179">
        <f t="shared" si="189"/>
        <v>0.25166114784235832</v>
      </c>
      <c r="AI115" s="179">
        <f t="shared" si="190"/>
        <v>0.3</v>
      </c>
      <c r="AJ115" s="179">
        <f t="shared" si="191"/>
        <v>1.1121693121693121</v>
      </c>
      <c r="AL115" s="563">
        <f t="shared" si="192"/>
        <v>50</v>
      </c>
      <c r="AM115" s="472">
        <f t="shared" si="193"/>
        <v>196.29629629629628</v>
      </c>
      <c r="AO115" s="472">
        <f t="shared" si="194"/>
        <v>50</v>
      </c>
      <c r="AP115" s="472">
        <f t="shared" si="195"/>
        <v>196.29629629629628</v>
      </c>
      <c r="AR115" s="6">
        <f t="shared" si="146"/>
        <v>5.0943396226415105</v>
      </c>
      <c r="AS115" s="6">
        <f t="shared" ref="AS115:AS178" si="230">L*AI115/J115*1000000</f>
        <v>0.75</v>
      </c>
      <c r="AT115" s="6">
        <f t="shared" ref="AT115:AT178" si="231">AR115-AS115</f>
        <v>4.3443396226415105</v>
      </c>
      <c r="AU115" s="179">
        <f t="shared" ref="AU115:AU178" si="232">AS115/AR115</f>
        <v>0.1472222222222222</v>
      </c>
      <c r="AW115" s="6">
        <f t="shared" si="199"/>
        <v>0.75000000000000011</v>
      </c>
      <c r="AX115" s="6">
        <f t="shared" si="200"/>
        <v>0.56818181818181823</v>
      </c>
      <c r="AY115" s="6">
        <f t="shared" si="201"/>
        <v>8.3802847658979746E-2</v>
      </c>
      <c r="AZ115" s="6"/>
      <c r="BA115" s="179">
        <f t="shared" si="202"/>
        <v>6.6458006791256283E-2</v>
      </c>
      <c r="BB115" s="179">
        <f t="shared" si="203"/>
        <v>0.47984372456040308</v>
      </c>
      <c r="BC115" s="179">
        <f t="shared" si="204"/>
        <v>0.2331240761822625</v>
      </c>
      <c r="BD115" s="179"/>
      <c r="BE115" s="546">
        <f t="shared" si="205"/>
        <v>1.5458333333333331E-3</v>
      </c>
      <c r="BF115" s="546">
        <f t="shared" si="206"/>
        <v>1.2322499999999997E-2</v>
      </c>
      <c r="BG115" s="546">
        <f t="shared" si="207"/>
        <v>2.4537037037037036E-3</v>
      </c>
      <c r="BH115" s="546">
        <f t="shared" si="208"/>
        <v>7.6399499999999995E-3</v>
      </c>
      <c r="BI115">
        <f t="shared" si="209"/>
        <v>3.48E-3</v>
      </c>
      <c r="BK115" s="472">
        <f t="shared" si="210"/>
        <v>27.441987037037034</v>
      </c>
      <c r="BL115" s="179">
        <f t="shared" si="211"/>
        <v>2.0000000000000004E-2</v>
      </c>
      <c r="BM115" s="179">
        <f t="shared" si="212"/>
        <v>1.0000000000000002E-2</v>
      </c>
      <c r="BN115" s="546"/>
      <c r="BP115" s="472">
        <f t="shared" si="213"/>
        <v>30.000000000000007</v>
      </c>
      <c r="BQ115" s="546">
        <f t="shared" si="214"/>
        <v>8.8333333333333319E-4</v>
      </c>
      <c r="BR115" s="546">
        <f t="shared" si="215"/>
        <v>9.2099999999999994E-3</v>
      </c>
      <c r="BS115" s="546">
        <f t="shared" si="216"/>
        <v>5.4346834895833331E-3</v>
      </c>
      <c r="BT115" s="546">
        <f t="shared" si="217"/>
        <v>1.330618032630401E-3</v>
      </c>
      <c r="BU115" s="546"/>
      <c r="BV115" s="655">
        <f t="shared" si="218"/>
        <v>1.7666666666666668E-3</v>
      </c>
      <c r="BW115" s="472">
        <f t="shared" si="219"/>
        <v>18.625301522213736</v>
      </c>
      <c r="BX115" s="179">
        <f t="shared" si="220"/>
        <v>7.6067288559250767E-2</v>
      </c>
      <c r="BY115" s="6">
        <f t="shared" si="221"/>
        <v>0.33250000000000002</v>
      </c>
      <c r="BZ115" s="179">
        <f t="shared" si="222"/>
        <v>0.81381943515965194</v>
      </c>
      <c r="CA115" s="6">
        <f t="shared" si="223"/>
        <v>81.38194351596519</v>
      </c>
      <c r="CB115">
        <f t="shared" si="224"/>
        <v>5</v>
      </c>
      <c r="CD115" s="581">
        <f t="shared" si="225"/>
        <v>-50</v>
      </c>
      <c r="CE115">
        <f t="shared" si="226"/>
        <v>-50</v>
      </c>
    </row>
    <row r="116" spans="5:83" x14ac:dyDescent="0.2">
      <c r="E116" s="176">
        <v>6</v>
      </c>
      <c r="F116" s="223">
        <f t="shared" si="227"/>
        <v>0.06</v>
      </c>
      <c r="G116" s="223">
        <f t="shared" si="168"/>
        <v>0.03</v>
      </c>
      <c r="H116" s="223">
        <f t="shared" si="169"/>
        <v>0.3</v>
      </c>
      <c r="I116" s="223">
        <f t="shared" si="170"/>
        <v>9.8999999999999991E-2</v>
      </c>
      <c r="J116" s="559">
        <f t="shared" si="171"/>
        <v>12</v>
      </c>
      <c r="K116" s="454">
        <f t="shared" si="172"/>
        <v>15.899999999999999</v>
      </c>
      <c r="L116" s="454">
        <f t="shared" si="173"/>
        <v>27.9</v>
      </c>
      <c r="M116" s="454"/>
      <c r="N116" s="223">
        <f t="shared" si="174"/>
        <v>0.56989247311827951</v>
      </c>
      <c r="O116" s="178">
        <f t="shared" si="228"/>
        <v>3.4707737084647103</v>
      </c>
      <c r="P116" s="178">
        <f t="shared" si="229"/>
        <v>1.5233225806451611</v>
      </c>
      <c r="Q116" s="223">
        <f t="shared" si="175"/>
        <v>0.69415474169294211</v>
      </c>
      <c r="R116" s="223">
        <f t="shared" si="176"/>
        <v>1.0517496086256699</v>
      </c>
      <c r="S116" s="223">
        <f t="shared" si="177"/>
        <v>5</v>
      </c>
      <c r="T116" s="223">
        <f t="shared" si="178"/>
        <v>0.12965408805031448</v>
      </c>
      <c r="U116" s="223">
        <f t="shared" si="179"/>
        <v>0.32413522012578622</v>
      </c>
      <c r="V116" s="223">
        <f t="shared" si="180"/>
        <v>0.24463035481191417</v>
      </c>
      <c r="W116" s="203">
        <f t="shared" si="181"/>
        <v>350</v>
      </c>
      <c r="X116" s="454">
        <f t="shared" si="182"/>
        <v>350</v>
      </c>
      <c r="Z116" s="223">
        <f t="shared" si="183"/>
        <v>0.65130568356374818</v>
      </c>
      <c r="AA116" s="179">
        <f t="shared" si="184"/>
        <v>1.2288786482334872</v>
      </c>
      <c r="AB116" s="179">
        <f t="shared" si="185"/>
        <v>0.31593775579129196</v>
      </c>
      <c r="AC116" s="179"/>
      <c r="AD116" s="179">
        <f t="shared" si="186"/>
        <v>0.5660377358490567</v>
      </c>
      <c r="AE116" s="563">
        <f t="shared" si="187"/>
        <v>235.55555555555551</v>
      </c>
      <c r="AF116" s="546">
        <f t="shared" si="188"/>
        <v>8.9150943396226423E-2</v>
      </c>
      <c r="AH116" s="179">
        <f t="shared" si="189"/>
        <v>0.27568097504180444</v>
      </c>
      <c r="AI116" s="179">
        <f t="shared" si="190"/>
        <v>0.3</v>
      </c>
      <c r="AJ116" s="179">
        <f t="shared" si="191"/>
        <v>1.1346031746031746</v>
      </c>
      <c r="AL116" s="563">
        <f t="shared" si="192"/>
        <v>60</v>
      </c>
      <c r="AM116" s="472">
        <f t="shared" si="193"/>
        <v>235.55555555555551</v>
      </c>
      <c r="AO116" s="472">
        <f t="shared" si="194"/>
        <v>60</v>
      </c>
      <c r="AP116" s="472">
        <f t="shared" si="195"/>
        <v>235.55555555555551</v>
      </c>
      <c r="AR116" s="6">
        <f t="shared" si="146"/>
        <v>4.2452830188679256</v>
      </c>
      <c r="AS116" s="6">
        <f t="shared" si="230"/>
        <v>0.75</v>
      </c>
      <c r="AT116" s="6">
        <f t="shared" si="231"/>
        <v>3.4952830188679256</v>
      </c>
      <c r="AU116" s="179">
        <f t="shared" si="232"/>
        <v>0.17666666666666661</v>
      </c>
      <c r="AW116" s="6">
        <f t="shared" si="199"/>
        <v>0.9</v>
      </c>
      <c r="AX116" s="6">
        <f t="shared" si="200"/>
        <v>0.68181818181818177</v>
      </c>
      <c r="AY116" s="6">
        <f t="shared" si="201"/>
        <v>8.0909329140461214E-2</v>
      </c>
      <c r="AZ116" s="6"/>
      <c r="BA116" s="179">
        <f t="shared" si="202"/>
        <v>7.2801098892805172E-2</v>
      </c>
      <c r="BB116" s="179">
        <f t="shared" si="203"/>
        <v>0.47148700936505128</v>
      </c>
      <c r="BC116" s="179">
        <f t="shared" si="204"/>
        <v>0.22906410538318739</v>
      </c>
      <c r="BD116" s="179"/>
      <c r="BE116" s="546">
        <f t="shared" si="205"/>
        <v>1.8549999999999992E-3</v>
      </c>
      <c r="BF116" s="546">
        <f t="shared" si="206"/>
        <v>1.4786999999999995E-2</v>
      </c>
      <c r="BG116" s="546">
        <f t="shared" si="207"/>
        <v>2.9444444444444435E-3</v>
      </c>
      <c r="BH116" s="546">
        <f t="shared" si="208"/>
        <v>9.1679399999999977E-3</v>
      </c>
      <c r="BI116">
        <f t="shared" si="209"/>
        <v>3.48E-3</v>
      </c>
      <c r="BK116" s="472">
        <f t="shared" si="210"/>
        <v>32.23438444444443</v>
      </c>
      <c r="BL116" s="179">
        <f t="shared" si="211"/>
        <v>2.4E-2</v>
      </c>
      <c r="BM116" s="179">
        <f t="shared" si="212"/>
        <v>1.2E-2</v>
      </c>
      <c r="BN116" s="546"/>
      <c r="BP116" s="472">
        <f t="shared" si="213"/>
        <v>36.000000000000007</v>
      </c>
      <c r="BQ116" s="546">
        <f t="shared" si="214"/>
        <v>1.0599999999999997E-3</v>
      </c>
      <c r="BR116" s="546">
        <f t="shared" si="215"/>
        <v>8.8919999999999971E-3</v>
      </c>
      <c r="BS116" s="546">
        <f t="shared" si="216"/>
        <v>5.2470364374999981E-3</v>
      </c>
      <c r="BT116" s="546">
        <f t="shared" si="217"/>
        <v>2.0989713942570678E-3</v>
      </c>
      <c r="BU116" s="546"/>
      <c r="BV116" s="655">
        <f t="shared" si="218"/>
        <v>2.1199999999999999E-3</v>
      </c>
      <c r="BW116" s="472">
        <f t="shared" si="219"/>
        <v>19.418007831757063</v>
      </c>
      <c r="BX116" s="179">
        <f t="shared" si="220"/>
        <v>8.7652392276201502E-2</v>
      </c>
      <c r="BY116" s="6">
        <f t="shared" si="221"/>
        <v>0.39899999999999997</v>
      </c>
      <c r="BZ116" s="179">
        <f t="shared" si="222"/>
        <v>0.81988706175628112</v>
      </c>
      <c r="CA116" s="6">
        <f t="shared" si="223"/>
        <v>81.98870617562811</v>
      </c>
      <c r="CB116">
        <f t="shared" si="224"/>
        <v>6</v>
      </c>
      <c r="CD116" s="581">
        <f t="shared" si="225"/>
        <v>-50</v>
      </c>
      <c r="CE116">
        <f t="shared" si="226"/>
        <v>-50</v>
      </c>
    </row>
    <row r="117" spans="5:83" x14ac:dyDescent="0.2">
      <c r="E117" s="176">
        <v>7</v>
      </c>
      <c r="F117" s="223">
        <f t="shared" si="227"/>
        <v>7.0000000000000007E-2</v>
      </c>
      <c r="G117" s="223">
        <f t="shared" si="168"/>
        <v>3.5000000000000003E-2</v>
      </c>
      <c r="H117" s="223">
        <f t="shared" si="169"/>
        <v>0.35000000000000003</v>
      </c>
      <c r="I117" s="223">
        <f t="shared" si="170"/>
        <v>0.11550000000000001</v>
      </c>
      <c r="J117" s="559">
        <f t="shared" si="171"/>
        <v>12</v>
      </c>
      <c r="K117" s="454">
        <f t="shared" si="172"/>
        <v>15.899999999999999</v>
      </c>
      <c r="L117" s="454">
        <f t="shared" si="173"/>
        <v>27.9</v>
      </c>
      <c r="M117" s="454"/>
      <c r="N117" s="223">
        <f t="shared" si="174"/>
        <v>0.56989247311827951</v>
      </c>
      <c r="O117" s="178">
        <f t="shared" si="228"/>
        <v>3.4707737084647103</v>
      </c>
      <c r="P117" s="178">
        <f t="shared" si="229"/>
        <v>1.5233225806451611</v>
      </c>
      <c r="Q117" s="223">
        <f t="shared" si="175"/>
        <v>0.69415474169294211</v>
      </c>
      <c r="R117" s="223">
        <f t="shared" si="176"/>
        <v>1.0517496086256699</v>
      </c>
      <c r="S117" s="223">
        <f t="shared" si="177"/>
        <v>5</v>
      </c>
      <c r="T117" s="223">
        <f t="shared" si="178"/>
        <v>0.15126310272536689</v>
      </c>
      <c r="U117" s="223">
        <f t="shared" si="179"/>
        <v>0.37815775681341723</v>
      </c>
      <c r="V117" s="223">
        <f t="shared" si="180"/>
        <v>0.28540208061389982</v>
      </c>
      <c r="W117" s="203">
        <f t="shared" si="181"/>
        <v>350</v>
      </c>
      <c r="X117" s="454">
        <f t="shared" si="182"/>
        <v>350</v>
      </c>
      <c r="Z117" s="223">
        <f t="shared" si="183"/>
        <v>0.65130568356374818</v>
      </c>
      <c r="AA117" s="179">
        <f t="shared" si="184"/>
        <v>1.2288786482334872</v>
      </c>
      <c r="AB117" s="179">
        <f t="shared" si="185"/>
        <v>0.31593775579129196</v>
      </c>
      <c r="AC117" s="179"/>
      <c r="AD117" s="179">
        <f t="shared" si="186"/>
        <v>0.5660377358490567</v>
      </c>
      <c r="AE117" s="563">
        <f t="shared" si="187"/>
        <v>274.81481481481478</v>
      </c>
      <c r="AF117" s="546">
        <f t="shared" si="188"/>
        <v>8.9150943396226423E-2</v>
      </c>
      <c r="AH117" s="179">
        <f t="shared" si="189"/>
        <v>0.29776948578836393</v>
      </c>
      <c r="AI117" s="179">
        <f t="shared" si="190"/>
        <v>0.3</v>
      </c>
      <c r="AJ117" s="179">
        <f t="shared" si="191"/>
        <v>1.1570370370370371</v>
      </c>
      <c r="AL117" s="563">
        <f t="shared" si="192"/>
        <v>70</v>
      </c>
      <c r="AM117" s="472">
        <f t="shared" si="193"/>
        <v>274.81481481481478</v>
      </c>
      <c r="AO117" s="472">
        <f t="shared" si="194"/>
        <v>70</v>
      </c>
      <c r="AP117" s="472">
        <f t="shared" si="195"/>
        <v>274.81481481481478</v>
      </c>
      <c r="AR117" s="6">
        <f t="shared" si="146"/>
        <v>3.6388140161725073</v>
      </c>
      <c r="AS117" s="6">
        <f t="shared" si="230"/>
        <v>0.75</v>
      </c>
      <c r="AT117" s="6">
        <f t="shared" si="231"/>
        <v>2.8888140161725073</v>
      </c>
      <c r="AU117" s="179">
        <f t="shared" si="232"/>
        <v>0.20611111111111108</v>
      </c>
      <c r="AW117" s="6">
        <f t="shared" si="199"/>
        <v>1.05</v>
      </c>
      <c r="AX117" s="6">
        <f t="shared" si="200"/>
        <v>0.79545454545454553</v>
      </c>
      <c r="AY117" s="6">
        <f t="shared" si="201"/>
        <v>7.8015810621942697E-2</v>
      </c>
      <c r="AZ117" s="6"/>
      <c r="BA117" s="179">
        <f t="shared" si="202"/>
        <v>7.8634174080569649E-2</v>
      </c>
      <c r="BB117" s="179">
        <f t="shared" si="203"/>
        <v>0.46297948118680154</v>
      </c>
      <c r="BC117" s="179">
        <f t="shared" si="204"/>
        <v>0.22493086460992107</v>
      </c>
      <c r="BD117" s="179"/>
      <c r="BE117" s="546">
        <f t="shared" si="205"/>
        <v>2.1641666666666658E-3</v>
      </c>
      <c r="BF117" s="546">
        <f t="shared" si="206"/>
        <v>1.7251499999999996E-2</v>
      </c>
      <c r="BG117" s="546">
        <f t="shared" si="207"/>
        <v>3.4351851851851848E-3</v>
      </c>
      <c r="BH117" s="546">
        <f t="shared" si="208"/>
        <v>1.0695929999999999E-2</v>
      </c>
      <c r="BI117">
        <f t="shared" si="209"/>
        <v>3.48E-3</v>
      </c>
      <c r="BK117" s="472">
        <f t="shared" si="210"/>
        <v>37.026781851851844</v>
      </c>
      <c r="BL117" s="179">
        <f t="shared" si="211"/>
        <v>2.8000000000000004E-2</v>
      </c>
      <c r="BM117" s="179">
        <f t="shared" si="212"/>
        <v>1.4000000000000002E-2</v>
      </c>
      <c r="BN117" s="546"/>
      <c r="BP117" s="472">
        <f t="shared" si="213"/>
        <v>42.000000000000007</v>
      </c>
      <c r="BQ117" s="546">
        <f t="shared" si="214"/>
        <v>1.2366666666666663E-3</v>
      </c>
      <c r="BR117" s="546">
        <f t="shared" si="215"/>
        <v>8.5739999999999966E-3</v>
      </c>
      <c r="BS117" s="546">
        <f t="shared" si="216"/>
        <v>5.0593893854166648E-3</v>
      </c>
      <c r="BT117" s="546">
        <f t="shared" si="217"/>
        <v>3.0858406372140197E-3</v>
      </c>
      <c r="BU117" s="546"/>
      <c r="BV117" s="655">
        <f t="shared" si="218"/>
        <v>2.4733333333333335E-3</v>
      </c>
      <c r="BW117" s="472">
        <f t="shared" si="219"/>
        <v>20.42923002263068</v>
      </c>
      <c r="BX117" s="179">
        <f t="shared" si="220"/>
        <v>9.9456011874482525E-2</v>
      </c>
      <c r="BY117" s="6">
        <f t="shared" si="221"/>
        <v>0.46550000000000002</v>
      </c>
      <c r="BZ117" s="179">
        <f t="shared" si="222"/>
        <v>0.82395795462996357</v>
      </c>
      <c r="CA117" s="6">
        <f t="shared" si="223"/>
        <v>82.395795462996361</v>
      </c>
      <c r="CB117">
        <f t="shared" si="224"/>
        <v>7.0000000000000009</v>
      </c>
      <c r="CD117" s="581">
        <f t="shared" si="225"/>
        <v>-50</v>
      </c>
      <c r="CE117">
        <f t="shared" si="226"/>
        <v>-50</v>
      </c>
    </row>
    <row r="118" spans="5:83" x14ac:dyDescent="0.2">
      <c r="E118" s="176">
        <v>8</v>
      </c>
      <c r="F118" s="223">
        <f t="shared" si="227"/>
        <v>0.08</v>
      </c>
      <c r="G118" s="223">
        <f t="shared" si="168"/>
        <v>0.04</v>
      </c>
      <c r="H118" s="223">
        <f t="shared" si="169"/>
        <v>0.4</v>
      </c>
      <c r="I118" s="223">
        <f t="shared" si="170"/>
        <v>0.13200000000000001</v>
      </c>
      <c r="J118" s="559">
        <f t="shared" si="171"/>
        <v>12</v>
      </c>
      <c r="K118" s="454">
        <f t="shared" si="172"/>
        <v>15.899999999999999</v>
      </c>
      <c r="L118" s="454">
        <f t="shared" si="173"/>
        <v>27.9</v>
      </c>
      <c r="M118" s="454"/>
      <c r="N118" s="223">
        <f t="shared" si="174"/>
        <v>0.56989247311827951</v>
      </c>
      <c r="O118" s="178">
        <f t="shared" si="228"/>
        <v>3.4707737084647103</v>
      </c>
      <c r="P118" s="178">
        <f t="shared" si="229"/>
        <v>1.5233225806451611</v>
      </c>
      <c r="Q118" s="223">
        <f t="shared" si="175"/>
        <v>0.69415474169294211</v>
      </c>
      <c r="R118" s="223">
        <f t="shared" si="176"/>
        <v>1.0517496086256699</v>
      </c>
      <c r="S118" s="223">
        <f t="shared" si="177"/>
        <v>5</v>
      </c>
      <c r="T118" s="223">
        <f t="shared" si="178"/>
        <v>0.1728721174004193</v>
      </c>
      <c r="U118" s="223">
        <f t="shared" si="179"/>
        <v>0.43218029350104825</v>
      </c>
      <c r="V118" s="223">
        <f t="shared" si="180"/>
        <v>0.3261738064158855</v>
      </c>
      <c r="W118" s="203">
        <f t="shared" si="181"/>
        <v>350</v>
      </c>
      <c r="X118" s="454">
        <f t="shared" si="182"/>
        <v>350</v>
      </c>
      <c r="Z118" s="223">
        <f t="shared" si="183"/>
        <v>0.65130568356374818</v>
      </c>
      <c r="AA118" s="179">
        <f t="shared" si="184"/>
        <v>1.2288786482334872</v>
      </c>
      <c r="AB118" s="179">
        <f t="shared" si="185"/>
        <v>0.31593775579129196</v>
      </c>
      <c r="AC118" s="179"/>
      <c r="AD118" s="179">
        <f t="shared" si="186"/>
        <v>0.5660377358490567</v>
      </c>
      <c r="AE118" s="563">
        <f t="shared" si="187"/>
        <v>314.07407407407402</v>
      </c>
      <c r="AF118" s="546">
        <f t="shared" si="188"/>
        <v>8.9150943396226423E-2</v>
      </c>
      <c r="AH118" s="179">
        <f t="shared" si="189"/>
        <v>0.31832897030168861</v>
      </c>
      <c r="AI118" s="179">
        <f t="shared" si="190"/>
        <v>0.31832897030168861</v>
      </c>
      <c r="AJ118" s="179">
        <f t="shared" si="191"/>
        <v>1.1794708994708993</v>
      </c>
      <c r="AL118" s="563">
        <f t="shared" si="192"/>
        <v>80</v>
      </c>
      <c r="AM118" s="472">
        <f t="shared" si="193"/>
        <v>314.07407407407402</v>
      </c>
      <c r="AO118" s="472">
        <f t="shared" si="194"/>
        <v>80</v>
      </c>
      <c r="AP118" s="472">
        <f t="shared" si="195"/>
        <v>314.07407407407402</v>
      </c>
      <c r="AR118" s="6">
        <f t="shared" si="146"/>
        <v>3.183962264150944</v>
      </c>
      <c r="AS118" s="6">
        <f t="shared" si="230"/>
        <v>0.79582242575422157</v>
      </c>
      <c r="AT118" s="6">
        <f t="shared" si="231"/>
        <v>2.3881398383967225</v>
      </c>
      <c r="AU118" s="179">
        <f t="shared" si="232"/>
        <v>0.24994719149614067</v>
      </c>
      <c r="AW118" s="6">
        <f t="shared" si="199"/>
        <v>1.2733158812067547</v>
      </c>
      <c r="AX118" s="6">
        <f t="shared" si="200"/>
        <v>0.96463324333845057</v>
      </c>
      <c r="AY118" s="6">
        <f t="shared" si="201"/>
        <v>7.3708019703602551E-2</v>
      </c>
      <c r="AZ118" s="6"/>
      <c r="BA118" s="179">
        <f t="shared" si="202"/>
        <v>9.1883952301456365E-2</v>
      </c>
      <c r="BB118" s="179">
        <f t="shared" si="203"/>
        <v>0.47751026563328802</v>
      </c>
      <c r="BC118" s="179">
        <f t="shared" si="204"/>
        <v>0.23199040405350574</v>
      </c>
      <c r="BD118" s="179"/>
      <c r="BE118" s="546">
        <f t="shared" si="205"/>
        <v>2.9549312416877077E-3</v>
      </c>
      <c r="BF118" s="546">
        <f t="shared" si="206"/>
        <v>2.0920579928226973E-2</v>
      </c>
      <c r="BG118" s="546">
        <f t="shared" si="207"/>
        <v>3.9259259259259256E-3</v>
      </c>
      <c r="BH118" s="546">
        <f t="shared" si="208"/>
        <v>1.2223919999999997E-2</v>
      </c>
      <c r="BI118">
        <f t="shared" si="209"/>
        <v>3.48E-3</v>
      </c>
      <c r="BK118" s="472">
        <f t="shared" si="210"/>
        <v>43.505357095840601</v>
      </c>
      <c r="BL118" s="179">
        <f t="shared" si="211"/>
        <v>3.2000000000000001E-2</v>
      </c>
      <c r="BM118" s="179">
        <f t="shared" si="212"/>
        <v>1.6E-2</v>
      </c>
      <c r="BN118" s="546"/>
      <c r="BP118" s="472">
        <f t="shared" si="213"/>
        <v>48</v>
      </c>
      <c r="BQ118" s="546">
        <f t="shared" si="214"/>
        <v>1.6885321381072617E-3</v>
      </c>
      <c r="BR118" s="546">
        <f t="shared" si="215"/>
        <v>9.1206421514069321E-3</v>
      </c>
      <c r="BS118" s="546">
        <f t="shared" si="216"/>
        <v>5.3819547572908858E-3</v>
      </c>
      <c r="BT118" s="546">
        <f t="shared" si="217"/>
        <v>4.9973599931030215E-3</v>
      </c>
      <c r="BU118" s="546"/>
      <c r="BV118" s="655">
        <f t="shared" si="218"/>
        <v>3.1826172839506169E-3</v>
      </c>
      <c r="BW118" s="472">
        <f t="shared" si="219"/>
        <v>24.371106323858722</v>
      </c>
      <c r="BX118" s="179">
        <f t="shared" si="220"/>
        <v>0.11587646341969933</v>
      </c>
      <c r="BY118" s="6">
        <f t="shared" si="221"/>
        <v>0.53200000000000003</v>
      </c>
      <c r="BZ118" s="179">
        <f t="shared" si="222"/>
        <v>0.82114419960856999</v>
      </c>
      <c r="CA118" s="6">
        <f t="shared" si="223"/>
        <v>82.114419960856992</v>
      </c>
      <c r="CB118">
        <f t="shared" si="224"/>
        <v>8</v>
      </c>
      <c r="CD118" s="581">
        <f t="shared" si="225"/>
        <v>-50</v>
      </c>
      <c r="CE118">
        <f t="shared" si="226"/>
        <v>-50</v>
      </c>
    </row>
    <row r="119" spans="5:83" x14ac:dyDescent="0.2">
      <c r="E119" s="176">
        <v>9</v>
      </c>
      <c r="F119" s="223">
        <f t="shared" si="227"/>
        <v>0.09</v>
      </c>
      <c r="G119" s="223">
        <f t="shared" si="168"/>
        <v>4.4999999999999998E-2</v>
      </c>
      <c r="H119" s="223">
        <f t="shared" si="169"/>
        <v>0.44999999999999996</v>
      </c>
      <c r="I119" s="223">
        <f t="shared" si="170"/>
        <v>0.14849999999999999</v>
      </c>
      <c r="J119" s="559">
        <f t="shared" si="171"/>
        <v>12</v>
      </c>
      <c r="K119" s="454">
        <f t="shared" si="172"/>
        <v>15.899999999999999</v>
      </c>
      <c r="L119" s="454">
        <f t="shared" si="173"/>
        <v>27.9</v>
      </c>
      <c r="M119" s="454"/>
      <c r="N119" s="223">
        <f t="shared" si="174"/>
        <v>0.56989247311827951</v>
      </c>
      <c r="O119" s="178">
        <f t="shared" si="228"/>
        <v>3.4707737084647103</v>
      </c>
      <c r="P119" s="178">
        <f t="shared" si="229"/>
        <v>1.5233225806451611</v>
      </c>
      <c r="Q119" s="223">
        <f t="shared" si="175"/>
        <v>0.69415474169294211</v>
      </c>
      <c r="R119" s="223">
        <f t="shared" si="176"/>
        <v>1.0517496086256699</v>
      </c>
      <c r="S119" s="223">
        <f t="shared" si="177"/>
        <v>5</v>
      </c>
      <c r="T119" s="223">
        <f t="shared" si="178"/>
        <v>0.19448113207547169</v>
      </c>
      <c r="U119" s="223">
        <f t="shared" si="179"/>
        <v>0.48620283018867921</v>
      </c>
      <c r="V119" s="223">
        <f t="shared" si="180"/>
        <v>0.36694553221787113</v>
      </c>
      <c r="W119" s="203">
        <f t="shared" si="181"/>
        <v>350</v>
      </c>
      <c r="X119" s="454">
        <f t="shared" si="182"/>
        <v>350</v>
      </c>
      <c r="Z119" s="223">
        <f t="shared" si="183"/>
        <v>0.65130568356374818</v>
      </c>
      <c r="AA119" s="179">
        <f t="shared" si="184"/>
        <v>1.2288786482334872</v>
      </c>
      <c r="AB119" s="179">
        <f t="shared" si="185"/>
        <v>0.31593775579129196</v>
      </c>
      <c r="AC119" s="179"/>
      <c r="AD119" s="179">
        <f t="shared" si="186"/>
        <v>0.5660377358490567</v>
      </c>
      <c r="AE119" s="563">
        <f t="shared" si="187"/>
        <v>353.33333333333326</v>
      </c>
      <c r="AF119" s="546">
        <f t="shared" si="188"/>
        <v>8.9150943396226423E-2</v>
      </c>
      <c r="AH119" s="179">
        <f t="shared" si="189"/>
        <v>0.33763886032268264</v>
      </c>
      <c r="AI119" s="179">
        <f t="shared" si="190"/>
        <v>0.33763886032268264</v>
      </c>
      <c r="AJ119" s="179">
        <f t="shared" si="191"/>
        <v>1.2278806372760611</v>
      </c>
      <c r="AL119" s="563">
        <f t="shared" si="192"/>
        <v>90</v>
      </c>
      <c r="AM119" s="472">
        <f t="shared" si="193"/>
        <v>350</v>
      </c>
      <c r="AO119" s="472">
        <f t="shared" si="194"/>
        <v>90</v>
      </c>
      <c r="AP119" s="472">
        <f t="shared" si="195"/>
        <v>350</v>
      </c>
      <c r="AR119" s="6">
        <f t="shared" si="146"/>
        <v>2.8571428571428572</v>
      </c>
      <c r="AS119" s="6">
        <f t="shared" si="230"/>
        <v>0.84409715080670666</v>
      </c>
      <c r="AT119" s="6">
        <f t="shared" si="231"/>
        <v>2.0130457063361504</v>
      </c>
      <c r="AU119" s="179">
        <f t="shared" si="232"/>
        <v>0.29543400278234733</v>
      </c>
      <c r="AW119" s="6">
        <f t="shared" si="199"/>
        <v>1.5193748714520718</v>
      </c>
      <c r="AX119" s="6">
        <f t="shared" si="200"/>
        <v>1.1510415692818727</v>
      </c>
      <c r="AY119" s="6">
        <f t="shared" si="201"/>
        <v>6.9897420358894097E-2</v>
      </c>
      <c r="AZ119" s="6"/>
      <c r="BA119" s="179">
        <f t="shared" si="202"/>
        <v>0.10595514195039898</v>
      </c>
      <c r="BB119" s="179">
        <f t="shared" si="203"/>
        <v>0.49087836685724623</v>
      </c>
      <c r="BC119" s="179">
        <f t="shared" si="204"/>
        <v>0.23848507323147877</v>
      </c>
      <c r="BD119" s="179"/>
      <c r="BE119" s="546">
        <f t="shared" si="205"/>
        <v>3.9292722370052194E-3</v>
      </c>
      <c r="BF119" s="546">
        <f t="shared" si="206"/>
        <v>2.4727826032882469E-2</v>
      </c>
      <c r="BG119" s="546">
        <f t="shared" si="207"/>
        <v>4.3749999999999995E-3</v>
      </c>
      <c r="BH119" s="546">
        <f t="shared" si="208"/>
        <v>1.3622175E-2</v>
      </c>
      <c r="BI119">
        <f t="shared" si="209"/>
        <v>3.48E-3</v>
      </c>
      <c r="BK119" s="472">
        <f t="shared" si="210"/>
        <v>50.134273269887679</v>
      </c>
      <c r="BL119" s="179">
        <f t="shared" si="211"/>
        <v>3.5999999999999997E-2</v>
      </c>
      <c r="BM119" s="179">
        <f t="shared" si="212"/>
        <v>1.7999999999999999E-2</v>
      </c>
      <c r="BN119" s="546"/>
      <c r="BP119" s="472">
        <f t="shared" si="213"/>
        <v>53.999999999999993</v>
      </c>
      <c r="BQ119" s="546">
        <f t="shared" si="214"/>
        <v>2.2452984211458397E-3</v>
      </c>
      <c r="BR119" s="546">
        <f t="shared" si="215"/>
        <v>9.6384628419374889E-3</v>
      </c>
      <c r="BS119" s="546">
        <f t="shared" si="216"/>
        <v>5.6875130154223803E-3</v>
      </c>
      <c r="BT119" s="546">
        <f t="shared" si="217"/>
        <v>7.5905138909869987E-3</v>
      </c>
      <c r="BU119" s="546"/>
      <c r="BV119" s="655">
        <f t="shared" si="218"/>
        <v>3.9900000000000005E-3</v>
      </c>
      <c r="BW119" s="472">
        <f t="shared" si="219"/>
        <v>29.151788169492711</v>
      </c>
      <c r="BX119" s="179">
        <f t="shared" si="220"/>
        <v>0.13328606143938038</v>
      </c>
      <c r="BY119" s="6">
        <f t="shared" si="221"/>
        <v>0.59849999999999992</v>
      </c>
      <c r="BZ119" s="179">
        <f t="shared" si="222"/>
        <v>0.81786198390112197</v>
      </c>
      <c r="CA119" s="6">
        <f t="shared" si="223"/>
        <v>81.78619839011219</v>
      </c>
      <c r="CB119">
        <f t="shared" si="224"/>
        <v>9</v>
      </c>
      <c r="CD119" s="581">
        <f t="shared" si="225"/>
        <v>-50</v>
      </c>
      <c r="CE119">
        <f t="shared" si="226"/>
        <v>-50</v>
      </c>
    </row>
    <row r="120" spans="5:83" x14ac:dyDescent="0.2">
      <c r="E120" s="176">
        <v>10</v>
      </c>
      <c r="F120" s="223">
        <f t="shared" si="227"/>
        <v>0.1</v>
      </c>
      <c r="G120" s="223">
        <f t="shared" si="168"/>
        <v>0.05</v>
      </c>
      <c r="H120" s="223">
        <f t="shared" si="169"/>
        <v>0.5</v>
      </c>
      <c r="I120" s="223">
        <f t="shared" si="170"/>
        <v>0.16500000000000001</v>
      </c>
      <c r="J120" s="559">
        <f t="shared" si="171"/>
        <v>12</v>
      </c>
      <c r="K120" s="454">
        <f t="shared" si="172"/>
        <v>15.899999999999999</v>
      </c>
      <c r="L120" s="454">
        <f t="shared" si="173"/>
        <v>27.9</v>
      </c>
      <c r="M120" s="454"/>
      <c r="N120" s="223">
        <f t="shared" si="174"/>
        <v>0.56989247311827951</v>
      </c>
      <c r="O120" s="178">
        <f t="shared" si="228"/>
        <v>3.4707737084647103</v>
      </c>
      <c r="P120" s="178">
        <f t="shared" si="229"/>
        <v>1.5233225806451611</v>
      </c>
      <c r="Q120" s="223">
        <f t="shared" si="175"/>
        <v>0.69415474169294211</v>
      </c>
      <c r="R120" s="223">
        <f t="shared" si="176"/>
        <v>1.0517496086256699</v>
      </c>
      <c r="S120" s="223">
        <f t="shared" si="177"/>
        <v>5</v>
      </c>
      <c r="T120" s="223">
        <f t="shared" si="178"/>
        <v>0.21609014675052413</v>
      </c>
      <c r="U120" s="223">
        <f t="shared" si="179"/>
        <v>0.5402253668763104</v>
      </c>
      <c r="V120" s="223">
        <f t="shared" si="180"/>
        <v>0.40771725801985692</v>
      </c>
      <c r="W120" s="203">
        <f t="shared" si="181"/>
        <v>350</v>
      </c>
      <c r="X120" s="454">
        <f t="shared" si="182"/>
        <v>350</v>
      </c>
      <c r="Z120" s="223">
        <f t="shared" si="183"/>
        <v>0.65130568356374818</v>
      </c>
      <c r="AA120" s="179">
        <f t="shared" si="184"/>
        <v>1.2288786482334872</v>
      </c>
      <c r="AB120" s="179">
        <f t="shared" si="185"/>
        <v>0.31593775579129196</v>
      </c>
      <c r="AC120" s="179"/>
      <c r="AD120" s="179">
        <f t="shared" si="186"/>
        <v>0.5660377358490567</v>
      </c>
      <c r="AE120" s="563">
        <f t="shared" si="187"/>
        <v>392.59259259259255</v>
      </c>
      <c r="AF120" s="546">
        <f t="shared" si="188"/>
        <v>8.9150943396226423E-2</v>
      </c>
      <c r="AH120" s="179">
        <f t="shared" si="189"/>
        <v>0.35590260840104371</v>
      </c>
      <c r="AI120" s="179">
        <f t="shared" si="190"/>
        <v>0.35590260840104371</v>
      </c>
      <c r="AJ120" s="179">
        <f t="shared" si="191"/>
        <v>1.2414093395563286</v>
      </c>
      <c r="AL120" s="563">
        <f t="shared" si="192"/>
        <v>100</v>
      </c>
      <c r="AM120" s="472">
        <f t="shared" si="193"/>
        <v>350</v>
      </c>
      <c r="AO120" s="472">
        <f t="shared" si="194"/>
        <v>100</v>
      </c>
      <c r="AP120" s="472">
        <f t="shared" si="195"/>
        <v>350</v>
      </c>
      <c r="AR120" s="6">
        <f t="shared" si="146"/>
        <v>2.8571428571428572</v>
      </c>
      <c r="AS120" s="6">
        <f t="shared" si="230"/>
        <v>0.88975652100260927</v>
      </c>
      <c r="AT120" s="6">
        <f t="shared" si="231"/>
        <v>1.9673863361402479</v>
      </c>
      <c r="AU120" s="179">
        <f t="shared" si="232"/>
        <v>0.31141478235091324</v>
      </c>
      <c r="AW120" s="6">
        <f t="shared" si="199"/>
        <v>1.7795130420052185</v>
      </c>
      <c r="AX120" s="6">
        <f t="shared" si="200"/>
        <v>1.3481159409130443</v>
      </c>
      <c r="AY120" s="6">
        <f t="shared" si="201"/>
        <v>7.5902250622694747E-2</v>
      </c>
      <c r="AZ120" s="6"/>
      <c r="BA120" s="179">
        <f t="shared" si="202"/>
        <v>0.11466745023634749</v>
      </c>
      <c r="BB120" s="179">
        <f t="shared" si="203"/>
        <v>0.51152945438816422</v>
      </c>
      <c r="BC120" s="179">
        <f t="shared" si="204"/>
        <v>0.24851805992358308</v>
      </c>
      <c r="BD120" s="179"/>
      <c r="BE120" s="546">
        <f t="shared" si="205"/>
        <v>4.6020184502968296E-3</v>
      </c>
      <c r="BF120" s="546">
        <f t="shared" si="206"/>
        <v>2.6065417282771439E-2</v>
      </c>
      <c r="BG120" s="546">
        <f t="shared" si="207"/>
        <v>4.3749999999999995E-3</v>
      </c>
      <c r="BH120" s="546">
        <f t="shared" si="208"/>
        <v>1.3622175E-2</v>
      </c>
      <c r="BI120">
        <f t="shared" si="209"/>
        <v>3.48E-3</v>
      </c>
      <c r="BK120" s="472">
        <f t="shared" si="210"/>
        <v>52.144610733068269</v>
      </c>
      <c r="BL120" s="179">
        <f t="shared" si="211"/>
        <v>4.0000000000000008E-2</v>
      </c>
      <c r="BM120" s="179">
        <f t="shared" si="212"/>
        <v>2.0000000000000004E-2</v>
      </c>
      <c r="BN120" s="546"/>
      <c r="BP120" s="472">
        <f t="shared" si="213"/>
        <v>60.000000000000014</v>
      </c>
      <c r="BQ120" s="546">
        <f t="shared" si="214"/>
        <v>2.6297248287410458E-3</v>
      </c>
      <c r="BR120" s="546">
        <f t="shared" si="215"/>
        <v>1.046649530826612E-2</v>
      </c>
      <c r="BS120" s="546">
        <f t="shared" si="216"/>
        <v>6.1761226108181634E-3</v>
      </c>
      <c r="BT120" s="546">
        <f t="shared" si="217"/>
        <v>8.6590060400406725E-3</v>
      </c>
      <c r="BU120" s="546"/>
      <c r="BV120" s="655">
        <f t="shared" si="218"/>
        <v>4.4333333333333343E-3</v>
      </c>
      <c r="BW120" s="472">
        <f t="shared" si="219"/>
        <v>32.364682121199337</v>
      </c>
      <c r="BX120" s="179">
        <f t="shared" si="220"/>
        <v>0.14450929285426761</v>
      </c>
      <c r="BY120" s="6">
        <f t="shared" si="221"/>
        <v>0.66500000000000004</v>
      </c>
      <c r="BZ120" s="179">
        <f t="shared" si="222"/>
        <v>0.82148531940289538</v>
      </c>
      <c r="CA120" s="6">
        <f t="shared" si="223"/>
        <v>82.148531940289544</v>
      </c>
      <c r="CB120">
        <f t="shared" si="224"/>
        <v>10</v>
      </c>
      <c r="CD120" s="581">
        <f t="shared" si="225"/>
        <v>-50</v>
      </c>
      <c r="CE120">
        <f t="shared" si="226"/>
        <v>-50</v>
      </c>
    </row>
    <row r="121" spans="5:83" x14ac:dyDescent="0.2">
      <c r="E121" s="176">
        <v>11</v>
      </c>
      <c r="F121" s="223">
        <f t="shared" si="227"/>
        <v>0.11</v>
      </c>
      <c r="G121" s="223">
        <f t="shared" si="168"/>
        <v>5.5E-2</v>
      </c>
      <c r="H121" s="223">
        <f t="shared" si="169"/>
        <v>0.55000000000000004</v>
      </c>
      <c r="I121" s="223">
        <f t="shared" si="170"/>
        <v>0.18149999999999999</v>
      </c>
      <c r="J121" s="559">
        <f t="shared" si="171"/>
        <v>12</v>
      </c>
      <c r="K121" s="454">
        <f t="shared" si="172"/>
        <v>15.899999999999999</v>
      </c>
      <c r="L121" s="454">
        <f t="shared" si="173"/>
        <v>27.9</v>
      </c>
      <c r="M121" s="454"/>
      <c r="N121" s="223">
        <f t="shared" si="174"/>
        <v>0.56989247311827951</v>
      </c>
      <c r="O121" s="178">
        <f t="shared" si="228"/>
        <v>3.4707737084647103</v>
      </c>
      <c r="P121" s="178">
        <f t="shared" si="229"/>
        <v>1.5233225806451611</v>
      </c>
      <c r="Q121" s="223">
        <f t="shared" si="175"/>
        <v>0.69415474169294211</v>
      </c>
      <c r="R121" s="223">
        <f t="shared" si="176"/>
        <v>1.0517496086256699</v>
      </c>
      <c r="S121" s="223">
        <f t="shared" si="177"/>
        <v>5</v>
      </c>
      <c r="T121" s="223">
        <f t="shared" si="178"/>
        <v>0.23769916142557654</v>
      </c>
      <c r="U121" s="223">
        <f t="shared" si="179"/>
        <v>0.59424790356394142</v>
      </c>
      <c r="V121" s="223">
        <f t="shared" si="180"/>
        <v>0.4484889838218426</v>
      </c>
      <c r="W121" s="203">
        <f t="shared" si="181"/>
        <v>350</v>
      </c>
      <c r="X121" s="454">
        <f t="shared" si="182"/>
        <v>350</v>
      </c>
      <c r="Z121" s="223">
        <f t="shared" si="183"/>
        <v>0.65130568356374818</v>
      </c>
      <c r="AA121" s="179">
        <f t="shared" si="184"/>
        <v>1.2288786482334872</v>
      </c>
      <c r="AB121" s="179">
        <f t="shared" si="185"/>
        <v>0.31593775579129196</v>
      </c>
      <c r="AC121" s="179"/>
      <c r="AD121" s="179">
        <f t="shared" si="186"/>
        <v>0.5660377358490567</v>
      </c>
      <c r="AE121" s="563">
        <f t="shared" si="187"/>
        <v>431.85185185185185</v>
      </c>
      <c r="AF121" s="546">
        <f t="shared" si="188"/>
        <v>8.9150943396226423E-2</v>
      </c>
      <c r="AH121" s="179">
        <f t="shared" si="189"/>
        <v>0.37327380477785116</v>
      </c>
      <c r="AI121" s="179">
        <f t="shared" si="190"/>
        <v>0.37327380477785116</v>
      </c>
      <c r="AJ121" s="179">
        <f t="shared" si="191"/>
        <v>1.2542768924280379</v>
      </c>
      <c r="AL121" s="563">
        <f t="shared" si="192"/>
        <v>110</v>
      </c>
      <c r="AM121" s="472">
        <f t="shared" si="193"/>
        <v>350</v>
      </c>
      <c r="AO121" s="472">
        <f t="shared" si="194"/>
        <v>110</v>
      </c>
      <c r="AP121" s="472">
        <f t="shared" si="195"/>
        <v>350</v>
      </c>
      <c r="AR121" s="6">
        <f t="shared" si="146"/>
        <v>2.8571428571428572</v>
      </c>
      <c r="AS121" s="6">
        <f t="shared" si="230"/>
        <v>0.93318451194462781</v>
      </c>
      <c r="AT121" s="6">
        <f t="shared" si="231"/>
        <v>1.9239583451982294</v>
      </c>
      <c r="AU121" s="179">
        <f t="shared" si="232"/>
        <v>0.3266145791806197</v>
      </c>
      <c r="AW121" s="6">
        <f t="shared" si="199"/>
        <v>2.053005926278181</v>
      </c>
      <c r="AX121" s="6">
        <f t="shared" si="200"/>
        <v>1.5553075199077129</v>
      </c>
      <c r="AY121" s="6">
        <f t="shared" si="201"/>
        <v>8.1649466810110038E-2</v>
      </c>
      <c r="AZ121" s="6"/>
      <c r="BA121" s="179">
        <f t="shared" si="202"/>
        <v>0.12316425080963994</v>
      </c>
      <c r="BB121" s="179">
        <f t="shared" si="203"/>
        <v>0.5305422753207335</v>
      </c>
      <c r="BC121" s="179">
        <f t="shared" si="204"/>
        <v>0.25775512209332302</v>
      </c>
      <c r="BD121" s="179"/>
      <c r="BE121" s="546">
        <f t="shared" si="205"/>
        <v>5.3093014371249619E-3</v>
      </c>
      <c r="BF121" s="546">
        <f t="shared" si="206"/>
        <v>2.733764027741787E-2</v>
      </c>
      <c r="BG121" s="546">
        <f t="shared" si="207"/>
        <v>4.3749999999999995E-3</v>
      </c>
      <c r="BH121" s="546">
        <f t="shared" si="208"/>
        <v>1.3622175E-2</v>
      </c>
      <c r="BI121">
        <f t="shared" si="209"/>
        <v>3.48E-3</v>
      </c>
      <c r="BK121" s="472">
        <f t="shared" si="210"/>
        <v>54.124116714542829</v>
      </c>
      <c r="BL121" s="179">
        <f t="shared" si="211"/>
        <v>4.4000000000000004E-2</v>
      </c>
      <c r="BM121" s="179">
        <f t="shared" si="212"/>
        <v>2.2000000000000002E-2</v>
      </c>
      <c r="BN121" s="546"/>
      <c r="BP121" s="472">
        <f t="shared" si="213"/>
        <v>66</v>
      </c>
      <c r="BQ121" s="546">
        <f t="shared" si="214"/>
        <v>3.033886535499979E-3</v>
      </c>
      <c r="BR121" s="546">
        <f t="shared" si="215"/>
        <v>1.1259004236100038E-2</v>
      </c>
      <c r="BS121" s="546">
        <f t="shared" si="216"/>
        <v>6.6437702965343867E-3</v>
      </c>
      <c r="BT121" s="546">
        <f t="shared" si="217"/>
        <v>9.7545872814176014E-3</v>
      </c>
      <c r="BU121" s="546"/>
      <c r="BV121" s="655">
        <f t="shared" si="218"/>
        <v>4.876666666666668E-3</v>
      </c>
      <c r="BW121" s="472">
        <f t="shared" si="219"/>
        <v>35.56791501621867</v>
      </c>
      <c r="BX121" s="179">
        <f t="shared" si="220"/>
        <v>0.15569203173076149</v>
      </c>
      <c r="BY121" s="6">
        <f t="shared" si="221"/>
        <v>0.73150000000000004</v>
      </c>
      <c r="BZ121" s="179">
        <f t="shared" si="222"/>
        <v>0.82451146295009803</v>
      </c>
      <c r="CA121" s="6">
        <f t="shared" si="223"/>
        <v>82.451146295009806</v>
      </c>
      <c r="CB121">
        <f t="shared" si="224"/>
        <v>11</v>
      </c>
      <c r="CD121" s="581">
        <f t="shared" si="225"/>
        <v>-50</v>
      </c>
      <c r="CE121">
        <f t="shared" si="226"/>
        <v>-50</v>
      </c>
    </row>
    <row r="122" spans="5:83" x14ac:dyDescent="0.2">
      <c r="E122" s="176">
        <v>12</v>
      </c>
      <c r="F122" s="223">
        <f t="shared" si="227"/>
        <v>0.12</v>
      </c>
      <c r="G122" s="223">
        <f t="shared" si="168"/>
        <v>0.06</v>
      </c>
      <c r="H122" s="223">
        <f t="shared" si="169"/>
        <v>0.6</v>
      </c>
      <c r="I122" s="223">
        <f t="shared" si="170"/>
        <v>0.19799999999999998</v>
      </c>
      <c r="J122" s="559">
        <f t="shared" si="171"/>
        <v>12</v>
      </c>
      <c r="K122" s="454">
        <f t="shared" si="172"/>
        <v>15.899999999999999</v>
      </c>
      <c r="L122" s="454">
        <f t="shared" si="173"/>
        <v>27.9</v>
      </c>
      <c r="M122" s="454"/>
      <c r="N122" s="223">
        <f t="shared" si="174"/>
        <v>0.56989247311827951</v>
      </c>
      <c r="O122" s="178">
        <f t="shared" si="228"/>
        <v>3.4707737084647103</v>
      </c>
      <c r="P122" s="178">
        <f t="shared" si="229"/>
        <v>1.5233225806451611</v>
      </c>
      <c r="Q122" s="223">
        <f t="shared" si="175"/>
        <v>0.69415474169294211</v>
      </c>
      <c r="R122" s="223">
        <f t="shared" si="176"/>
        <v>1.0517496086256699</v>
      </c>
      <c r="S122" s="223">
        <f t="shared" si="177"/>
        <v>5</v>
      </c>
      <c r="T122" s="223">
        <f t="shared" si="178"/>
        <v>0.25930817610062895</v>
      </c>
      <c r="U122" s="223">
        <f t="shared" si="179"/>
        <v>0.64827044025157243</v>
      </c>
      <c r="V122" s="223">
        <f t="shared" si="180"/>
        <v>0.48926070962382834</v>
      </c>
      <c r="W122" s="203">
        <f t="shared" si="181"/>
        <v>350</v>
      </c>
      <c r="X122" s="454">
        <f t="shared" si="182"/>
        <v>350</v>
      </c>
      <c r="Z122" s="223">
        <f t="shared" si="183"/>
        <v>0.65130568356374818</v>
      </c>
      <c r="AA122" s="179">
        <f t="shared" si="184"/>
        <v>1.2288786482334872</v>
      </c>
      <c r="AB122" s="179">
        <f t="shared" si="185"/>
        <v>0.31593775579129196</v>
      </c>
      <c r="AC122" s="179"/>
      <c r="AD122" s="179">
        <f t="shared" si="186"/>
        <v>0.5660377358490567</v>
      </c>
      <c r="AE122" s="563">
        <f t="shared" si="187"/>
        <v>471.11111111111103</v>
      </c>
      <c r="AF122" s="546">
        <f t="shared" si="188"/>
        <v>8.9150943396226423E-2</v>
      </c>
      <c r="AH122" s="179">
        <f t="shared" si="189"/>
        <v>0.38987177379235854</v>
      </c>
      <c r="AI122" s="179">
        <f t="shared" si="190"/>
        <v>0.38987177379235854</v>
      </c>
      <c r="AJ122" s="179">
        <f t="shared" si="191"/>
        <v>1.2665716842906358</v>
      </c>
      <c r="AL122" s="563">
        <f t="shared" si="192"/>
        <v>120</v>
      </c>
      <c r="AM122" s="472">
        <f t="shared" si="193"/>
        <v>350</v>
      </c>
      <c r="AO122" s="472">
        <f t="shared" si="194"/>
        <v>120</v>
      </c>
      <c r="AP122" s="472">
        <f t="shared" si="195"/>
        <v>350</v>
      </c>
      <c r="AR122" s="6">
        <f t="shared" si="146"/>
        <v>2.8571428571428572</v>
      </c>
      <c r="AS122" s="6">
        <f t="shared" si="230"/>
        <v>0.97467943448089633</v>
      </c>
      <c r="AT122" s="6">
        <f t="shared" si="231"/>
        <v>1.882463422661961</v>
      </c>
      <c r="AU122" s="179">
        <f t="shared" si="232"/>
        <v>0.34113780206831373</v>
      </c>
      <c r="AW122" s="6">
        <f t="shared" si="199"/>
        <v>2.3392306427541514</v>
      </c>
      <c r="AX122" s="6">
        <f t="shared" si="200"/>
        <v>1.7721444263289026</v>
      </c>
      <c r="AY122" s="6">
        <f t="shared" si="201"/>
        <v>8.7151084382498176E-2</v>
      </c>
      <c r="AZ122" s="6"/>
      <c r="BA122" s="179">
        <f t="shared" si="202"/>
        <v>0.13146982659452533</v>
      </c>
      <c r="BB122" s="179">
        <f t="shared" si="203"/>
        <v>0.54812513375765659</v>
      </c>
      <c r="BC122" s="179">
        <f t="shared" si="204"/>
        <v>0.26629746081726147</v>
      </c>
      <c r="BD122" s="179"/>
      <c r="BE122" s="546">
        <f t="shared" si="205"/>
        <v>6.0495103566780952E-3</v>
      </c>
      <c r="BF122" s="546">
        <f t="shared" si="206"/>
        <v>2.8553234033117849E-2</v>
      </c>
      <c r="BG122" s="546">
        <f t="shared" si="207"/>
        <v>4.3749999999999995E-3</v>
      </c>
      <c r="BH122" s="546">
        <f t="shared" si="208"/>
        <v>1.3622175E-2</v>
      </c>
      <c r="BI122">
        <f t="shared" si="209"/>
        <v>3.48E-3</v>
      </c>
      <c r="BK122" s="472">
        <f t="shared" si="210"/>
        <v>56.07991938979594</v>
      </c>
      <c r="BL122" s="179">
        <f t="shared" si="211"/>
        <v>4.8000000000000001E-2</v>
      </c>
      <c r="BM122" s="179">
        <f t="shared" si="212"/>
        <v>2.4E-2</v>
      </c>
      <c r="BN122" s="546"/>
      <c r="BP122" s="472">
        <f t="shared" si="213"/>
        <v>72.000000000000014</v>
      </c>
      <c r="BQ122" s="546">
        <f t="shared" si="214"/>
        <v>3.4568630609589121E-3</v>
      </c>
      <c r="BR122" s="546">
        <f t="shared" si="215"/>
        <v>1.2017646490273957E-2</v>
      </c>
      <c r="BS122" s="546">
        <f t="shared" si="216"/>
        <v>7.0914337637720919E-3</v>
      </c>
      <c r="BT122" s="546">
        <f t="shared" si="217"/>
        <v>1.0875383992458063E-2</v>
      </c>
      <c r="BU122" s="546"/>
      <c r="BV122" s="655">
        <f t="shared" si="218"/>
        <v>5.3200000000000001E-3</v>
      </c>
      <c r="BW122" s="472">
        <f t="shared" si="219"/>
        <v>38.76132730746302</v>
      </c>
      <c r="BX122" s="179">
        <f t="shared" si="220"/>
        <v>0.16684124669725892</v>
      </c>
      <c r="BY122" s="6">
        <f t="shared" si="221"/>
        <v>0.79799999999999993</v>
      </c>
      <c r="BZ122" s="179">
        <f t="shared" si="222"/>
        <v>0.82707906894696714</v>
      </c>
      <c r="CA122" s="6">
        <f t="shared" si="223"/>
        <v>82.70790689469672</v>
      </c>
      <c r="CB122">
        <f t="shared" si="224"/>
        <v>12</v>
      </c>
      <c r="CD122" s="581">
        <f t="shared" si="225"/>
        <v>-50</v>
      </c>
      <c r="CE122">
        <f t="shared" si="226"/>
        <v>-50</v>
      </c>
    </row>
    <row r="123" spans="5:83" x14ac:dyDescent="0.2">
      <c r="E123" s="176">
        <v>13</v>
      </c>
      <c r="F123" s="223">
        <f t="shared" si="227"/>
        <v>0.13</v>
      </c>
      <c r="G123" s="223">
        <f t="shared" si="168"/>
        <v>6.5000000000000002E-2</v>
      </c>
      <c r="H123" s="223">
        <f t="shared" si="169"/>
        <v>0.65</v>
      </c>
      <c r="I123" s="223">
        <f t="shared" si="170"/>
        <v>0.2145</v>
      </c>
      <c r="J123" s="559">
        <f t="shared" si="171"/>
        <v>12</v>
      </c>
      <c r="K123" s="454">
        <f t="shared" si="172"/>
        <v>15.899999999999999</v>
      </c>
      <c r="L123" s="454">
        <f t="shared" si="173"/>
        <v>27.9</v>
      </c>
      <c r="M123" s="454"/>
      <c r="N123" s="223">
        <f t="shared" si="174"/>
        <v>0.56989247311827951</v>
      </c>
      <c r="O123" s="178">
        <f t="shared" si="228"/>
        <v>3.4707737084647103</v>
      </c>
      <c r="P123" s="178">
        <f t="shared" si="229"/>
        <v>1.5233225806451611</v>
      </c>
      <c r="Q123" s="223">
        <f t="shared" si="175"/>
        <v>0.69415474169294211</v>
      </c>
      <c r="R123" s="223">
        <f t="shared" si="176"/>
        <v>1.0517496086256699</v>
      </c>
      <c r="S123" s="223">
        <f t="shared" si="177"/>
        <v>5</v>
      </c>
      <c r="T123" s="223">
        <f t="shared" si="178"/>
        <v>0.28091719077568139</v>
      </c>
      <c r="U123" s="223">
        <f t="shared" si="179"/>
        <v>0.70229297693920356</v>
      </c>
      <c r="V123" s="223">
        <f t="shared" si="180"/>
        <v>0.53003243542581402</v>
      </c>
      <c r="W123" s="203">
        <f t="shared" si="181"/>
        <v>350</v>
      </c>
      <c r="X123" s="454">
        <f t="shared" si="182"/>
        <v>350</v>
      </c>
      <c r="Z123" s="223">
        <f t="shared" si="183"/>
        <v>0.65130568356374818</v>
      </c>
      <c r="AA123" s="179">
        <f t="shared" si="184"/>
        <v>1.2288786482334872</v>
      </c>
      <c r="AB123" s="179">
        <f t="shared" si="185"/>
        <v>0.31593775579129196</v>
      </c>
      <c r="AC123" s="179"/>
      <c r="AD123" s="179">
        <f t="shared" si="186"/>
        <v>0.5660377358490567</v>
      </c>
      <c r="AE123" s="563">
        <f t="shared" si="187"/>
        <v>510.37037037037027</v>
      </c>
      <c r="AF123" s="546">
        <f t="shared" si="188"/>
        <v>8.9150943396226423E-2</v>
      </c>
      <c r="AH123" s="179">
        <f t="shared" si="189"/>
        <v>0.40579140782755208</v>
      </c>
      <c r="AI123" s="179">
        <f t="shared" si="190"/>
        <v>0.40579140782755208</v>
      </c>
      <c r="AJ123" s="179">
        <f t="shared" si="191"/>
        <v>1.2783640057981867</v>
      </c>
      <c r="AL123" s="563">
        <f t="shared" si="192"/>
        <v>130</v>
      </c>
      <c r="AM123" s="472">
        <f t="shared" si="193"/>
        <v>350</v>
      </c>
      <c r="AO123" s="472">
        <f t="shared" si="194"/>
        <v>130</v>
      </c>
      <c r="AP123" s="472">
        <f t="shared" si="195"/>
        <v>350</v>
      </c>
      <c r="AR123" s="6">
        <f t="shared" si="146"/>
        <v>2.8571428571428572</v>
      </c>
      <c r="AS123" s="6">
        <f t="shared" si="230"/>
        <v>1.0144785195688801</v>
      </c>
      <c r="AT123" s="6">
        <f t="shared" si="231"/>
        <v>1.8426643375739771</v>
      </c>
      <c r="AU123" s="179">
        <f t="shared" si="232"/>
        <v>0.35506748184910802</v>
      </c>
      <c r="AW123" s="6">
        <f t="shared" si="199"/>
        <v>2.6376441508790882</v>
      </c>
      <c r="AX123" s="6">
        <f t="shared" si="200"/>
        <v>1.998215265817491</v>
      </c>
      <c r="AY123" s="6">
        <f t="shared" si="201"/>
        <v>9.2417578659188648E-2</v>
      </c>
      <c r="AZ123" s="6"/>
      <c r="BA123" s="179">
        <f t="shared" si="202"/>
        <v>0.13960393819399675</v>
      </c>
      <c r="BB123" s="179">
        <f t="shared" si="203"/>
        <v>0.56444367652276939</v>
      </c>
      <c r="BC123" s="179">
        <f t="shared" si="204"/>
        <v>0.27422555284397876</v>
      </c>
      <c r="BD123" s="179"/>
      <c r="BE123" s="546">
        <f t="shared" si="205"/>
        <v>6.821240845745642E-3</v>
      </c>
      <c r="BF123" s="546">
        <f t="shared" si="206"/>
        <v>2.9719148230770345E-2</v>
      </c>
      <c r="BG123" s="546">
        <f t="shared" si="207"/>
        <v>4.3749999999999995E-3</v>
      </c>
      <c r="BH123" s="546">
        <f t="shared" si="208"/>
        <v>1.3622175E-2</v>
      </c>
      <c r="BI123">
        <f t="shared" si="209"/>
        <v>3.48E-3</v>
      </c>
      <c r="BK123" s="472">
        <f t="shared" si="210"/>
        <v>58.017564076515981</v>
      </c>
      <c r="BL123" s="179">
        <f t="shared" si="211"/>
        <v>5.2000000000000005E-2</v>
      </c>
      <c r="BM123" s="179">
        <f t="shared" si="212"/>
        <v>2.6000000000000002E-2</v>
      </c>
      <c r="BN123" s="546"/>
      <c r="BP123" s="472">
        <f t="shared" si="213"/>
        <v>78.000000000000014</v>
      </c>
      <c r="BQ123" s="546">
        <f t="shared" si="214"/>
        <v>3.8978519118546533E-3</v>
      </c>
      <c r="BR123" s="546">
        <f t="shared" si="215"/>
        <v>1.274386655866163E-2</v>
      </c>
      <c r="BS123" s="546">
        <f t="shared" si="216"/>
        <v>7.5199653832585785E-3</v>
      </c>
      <c r="BT123" s="546">
        <f t="shared" si="217"/>
        <v>1.2019799766348181E-2</v>
      </c>
      <c r="BU123" s="546"/>
      <c r="BV123" s="655">
        <f t="shared" si="218"/>
        <v>5.7633333333333338E-3</v>
      </c>
      <c r="BW123" s="472">
        <f t="shared" si="219"/>
        <v>41.944816953456382</v>
      </c>
      <c r="BX123" s="179">
        <f t="shared" si="220"/>
        <v>0.17796238102997239</v>
      </c>
      <c r="BY123" s="6">
        <f t="shared" si="221"/>
        <v>0.86450000000000005</v>
      </c>
      <c r="BZ123" s="179">
        <f t="shared" si="222"/>
        <v>0.82928651981269363</v>
      </c>
      <c r="CA123" s="6">
        <f t="shared" si="223"/>
        <v>82.928651981269368</v>
      </c>
      <c r="CB123">
        <f t="shared" si="224"/>
        <v>13</v>
      </c>
      <c r="CD123" s="581">
        <f t="shared" si="225"/>
        <v>-50</v>
      </c>
      <c r="CE123">
        <f t="shared" si="226"/>
        <v>-50</v>
      </c>
    </row>
    <row r="124" spans="5:83" x14ac:dyDescent="0.2">
      <c r="E124" s="176">
        <v>14</v>
      </c>
      <c r="F124" s="223">
        <f t="shared" si="227"/>
        <v>0.14000000000000001</v>
      </c>
      <c r="G124" s="223">
        <f t="shared" si="168"/>
        <v>7.0000000000000007E-2</v>
      </c>
      <c r="H124" s="223">
        <f t="shared" si="169"/>
        <v>0.70000000000000007</v>
      </c>
      <c r="I124" s="223">
        <f t="shared" si="170"/>
        <v>0.23100000000000001</v>
      </c>
      <c r="J124" s="559">
        <f t="shared" si="171"/>
        <v>12</v>
      </c>
      <c r="K124" s="454">
        <f t="shared" si="172"/>
        <v>15.899999999999999</v>
      </c>
      <c r="L124" s="454">
        <f t="shared" si="173"/>
        <v>27.9</v>
      </c>
      <c r="M124" s="454"/>
      <c r="N124" s="223">
        <f t="shared" si="174"/>
        <v>0.56989247311827951</v>
      </c>
      <c r="O124" s="178">
        <f t="shared" si="228"/>
        <v>3.4707737084647103</v>
      </c>
      <c r="P124" s="178">
        <f t="shared" si="229"/>
        <v>1.5233225806451611</v>
      </c>
      <c r="Q124" s="223">
        <f t="shared" si="175"/>
        <v>0.69415474169294211</v>
      </c>
      <c r="R124" s="223">
        <f t="shared" si="176"/>
        <v>1.0517496086256699</v>
      </c>
      <c r="S124" s="223">
        <f t="shared" si="177"/>
        <v>5</v>
      </c>
      <c r="T124" s="223">
        <f t="shared" si="178"/>
        <v>0.30252620545073378</v>
      </c>
      <c r="U124" s="223">
        <f t="shared" si="179"/>
        <v>0.75631551362683447</v>
      </c>
      <c r="V124" s="223">
        <f t="shared" si="180"/>
        <v>0.57080416122779964</v>
      </c>
      <c r="W124" s="203">
        <f t="shared" si="181"/>
        <v>350</v>
      </c>
      <c r="X124" s="454">
        <f t="shared" si="182"/>
        <v>350</v>
      </c>
      <c r="Z124" s="223">
        <f t="shared" si="183"/>
        <v>0.65130568356374818</v>
      </c>
      <c r="AA124" s="179">
        <f t="shared" si="184"/>
        <v>1.2288786482334872</v>
      </c>
      <c r="AB124" s="179">
        <f t="shared" si="185"/>
        <v>0.31593775579129196</v>
      </c>
      <c r="AC124" s="179"/>
      <c r="AD124" s="179">
        <f t="shared" si="186"/>
        <v>0.5660377358490567</v>
      </c>
      <c r="AE124" s="563">
        <f t="shared" si="187"/>
        <v>549.62962962962956</v>
      </c>
      <c r="AF124" s="546">
        <f t="shared" si="188"/>
        <v>8.9150943396226423E-2</v>
      </c>
      <c r="AH124" s="179">
        <f t="shared" si="189"/>
        <v>0.42110964526276684</v>
      </c>
      <c r="AI124" s="179">
        <f t="shared" si="190"/>
        <v>0.42110964526276684</v>
      </c>
      <c r="AJ124" s="179">
        <f t="shared" si="191"/>
        <v>1.2897108483427902</v>
      </c>
      <c r="AL124" s="563">
        <f t="shared" si="192"/>
        <v>140</v>
      </c>
      <c r="AM124" s="472">
        <f t="shared" si="193"/>
        <v>350</v>
      </c>
      <c r="AO124" s="472">
        <f t="shared" si="194"/>
        <v>140</v>
      </c>
      <c r="AP124" s="472">
        <f t="shared" si="195"/>
        <v>350</v>
      </c>
      <c r="AR124" s="6">
        <f t="shared" si="146"/>
        <v>2.8571428571428572</v>
      </c>
      <c r="AS124" s="6">
        <f t="shared" si="230"/>
        <v>1.0527741131569173</v>
      </c>
      <c r="AT124" s="6">
        <f t="shared" si="231"/>
        <v>1.8043687439859399</v>
      </c>
      <c r="AU124" s="179">
        <f t="shared" si="232"/>
        <v>0.36847093960492106</v>
      </c>
      <c r="AW124" s="6">
        <f t="shared" si="199"/>
        <v>2.9477675168393684</v>
      </c>
      <c r="AX124" s="6">
        <f t="shared" si="200"/>
        <v>2.2331572097267944</v>
      </c>
      <c r="AY124" s="6">
        <f t="shared" si="201"/>
        <v>9.74581883325739E-2</v>
      </c>
      <c r="AZ124" s="6"/>
      <c r="BA124" s="179">
        <f t="shared" si="202"/>
        <v>0.14758294837887606</v>
      </c>
      <c r="BB124" s="179">
        <f t="shared" si="203"/>
        <v>0.57963217658285848</v>
      </c>
      <c r="BC124" s="179">
        <f t="shared" si="204"/>
        <v>0.28160463245650535</v>
      </c>
      <c r="BD124" s="179"/>
      <c r="BE124" s="546">
        <f t="shared" si="205"/>
        <v>7.6232543282706983E-3</v>
      </c>
      <c r="BF124" s="546">
        <f t="shared" si="206"/>
        <v>3.0841017644931877E-2</v>
      </c>
      <c r="BG124" s="546">
        <f t="shared" si="207"/>
        <v>4.3749999999999995E-3</v>
      </c>
      <c r="BH124" s="546">
        <f t="shared" si="208"/>
        <v>1.3622175E-2</v>
      </c>
      <c r="BI124">
        <f t="shared" si="209"/>
        <v>3.48E-3</v>
      </c>
      <c r="BK124" s="472">
        <f t="shared" si="210"/>
        <v>59.941446973202567</v>
      </c>
      <c r="BL124" s="179">
        <f t="shared" si="211"/>
        <v>5.6000000000000008E-2</v>
      </c>
      <c r="BM124" s="179">
        <f t="shared" si="212"/>
        <v>2.8000000000000004E-2</v>
      </c>
      <c r="BN124" s="546"/>
      <c r="BP124" s="472">
        <f t="shared" si="213"/>
        <v>84.000000000000014</v>
      </c>
      <c r="BQ124" s="546">
        <f t="shared" si="214"/>
        <v>4.3561453304403995E-3</v>
      </c>
      <c r="BR124" s="546">
        <f t="shared" si="215"/>
        <v>1.3438938405207282E-2</v>
      </c>
      <c r="BS124" s="546">
        <f t="shared" si="216"/>
        <v>7.9301169020963482E-3</v>
      </c>
      <c r="BT124" s="546">
        <f t="shared" si="217"/>
        <v>1.3186455915092953E-2</v>
      </c>
      <c r="BU124" s="546"/>
      <c r="BV124" s="655">
        <f t="shared" si="218"/>
        <v>6.2066666666666668E-3</v>
      </c>
      <c r="BW124" s="472">
        <f t="shared" si="219"/>
        <v>45.118323219503644</v>
      </c>
      <c r="BX124" s="179">
        <f t="shared" si="220"/>
        <v>0.18905977019270623</v>
      </c>
      <c r="BY124" s="6">
        <f t="shared" si="221"/>
        <v>0.93100000000000005</v>
      </c>
      <c r="BZ124" s="179">
        <f t="shared" si="222"/>
        <v>0.83120564167733801</v>
      </c>
      <c r="CA124" s="6">
        <f t="shared" si="223"/>
        <v>83.120564167733804</v>
      </c>
      <c r="CB124">
        <f t="shared" si="224"/>
        <v>14.000000000000002</v>
      </c>
      <c r="CD124" s="581">
        <f t="shared" si="225"/>
        <v>-50</v>
      </c>
      <c r="CE124">
        <f t="shared" si="226"/>
        <v>-50</v>
      </c>
    </row>
    <row r="125" spans="5:83" x14ac:dyDescent="0.2">
      <c r="E125" s="176">
        <v>15</v>
      </c>
      <c r="F125" s="223">
        <f t="shared" si="227"/>
        <v>0.15</v>
      </c>
      <c r="G125" s="223">
        <f t="shared" si="168"/>
        <v>7.4999999999999997E-2</v>
      </c>
      <c r="H125" s="223">
        <f t="shared" si="169"/>
        <v>0.75</v>
      </c>
      <c r="I125" s="223">
        <f t="shared" si="170"/>
        <v>0.24749999999999997</v>
      </c>
      <c r="J125" s="559">
        <f t="shared" si="171"/>
        <v>12</v>
      </c>
      <c r="K125" s="454">
        <f t="shared" si="172"/>
        <v>15.899999999999999</v>
      </c>
      <c r="L125" s="454">
        <f t="shared" si="173"/>
        <v>27.9</v>
      </c>
      <c r="M125" s="454"/>
      <c r="N125" s="223">
        <f t="shared" si="174"/>
        <v>0.56989247311827951</v>
      </c>
      <c r="O125" s="178">
        <f t="shared" si="228"/>
        <v>3.4707737084647103</v>
      </c>
      <c r="P125" s="178">
        <f t="shared" si="229"/>
        <v>1.5233225806451611</v>
      </c>
      <c r="Q125" s="223">
        <f t="shared" si="175"/>
        <v>0.69415474169294211</v>
      </c>
      <c r="R125" s="223">
        <f t="shared" si="176"/>
        <v>1.0517496086256699</v>
      </c>
      <c r="S125" s="223">
        <f t="shared" si="177"/>
        <v>5</v>
      </c>
      <c r="T125" s="223">
        <f t="shared" si="178"/>
        <v>0.32413522012578616</v>
      </c>
      <c r="U125" s="223">
        <f t="shared" si="179"/>
        <v>0.81033805031446549</v>
      </c>
      <c r="V125" s="223">
        <f t="shared" si="180"/>
        <v>0.61157588702978538</v>
      </c>
      <c r="W125" s="203">
        <f t="shared" si="181"/>
        <v>350</v>
      </c>
      <c r="X125" s="454">
        <f t="shared" si="182"/>
        <v>350</v>
      </c>
      <c r="Z125" s="223">
        <f t="shared" si="183"/>
        <v>0.65130568356374818</v>
      </c>
      <c r="AA125" s="179">
        <f t="shared" si="184"/>
        <v>1.2288786482334872</v>
      </c>
      <c r="AB125" s="179">
        <f t="shared" si="185"/>
        <v>0.31593775579129196</v>
      </c>
      <c r="AC125" s="179"/>
      <c r="AD125" s="179">
        <f t="shared" si="186"/>
        <v>0.5660377358490567</v>
      </c>
      <c r="AE125" s="563">
        <f t="shared" si="187"/>
        <v>588.8888888888888</v>
      </c>
      <c r="AF125" s="546">
        <f t="shared" si="188"/>
        <v>8.9150943396226423E-2</v>
      </c>
      <c r="AH125" s="179">
        <f t="shared" si="189"/>
        <v>0.43588989435406733</v>
      </c>
      <c r="AI125" s="179">
        <f t="shared" si="190"/>
        <v>0.43588989435406733</v>
      </c>
      <c r="AJ125" s="179">
        <f t="shared" si="191"/>
        <v>1.3006591810030128</v>
      </c>
      <c r="AL125" s="563">
        <f t="shared" si="192"/>
        <v>150</v>
      </c>
      <c r="AM125" s="472">
        <f t="shared" si="193"/>
        <v>350</v>
      </c>
      <c r="AO125" s="472">
        <f t="shared" si="194"/>
        <v>150</v>
      </c>
      <c r="AP125" s="472">
        <f t="shared" si="195"/>
        <v>350</v>
      </c>
      <c r="AR125" s="6">
        <f t="shared" si="146"/>
        <v>2.8571428571428572</v>
      </c>
      <c r="AS125" s="6">
        <f t="shared" si="230"/>
        <v>1.0897247358851683</v>
      </c>
      <c r="AT125" s="6">
        <f t="shared" si="231"/>
        <v>1.7674181212576889</v>
      </c>
      <c r="AU125" s="179">
        <f t="shared" si="232"/>
        <v>0.38140365755980887</v>
      </c>
      <c r="AW125" s="6">
        <f t="shared" si="199"/>
        <v>3.2691742076555048</v>
      </c>
      <c r="AX125" s="6">
        <f t="shared" si="200"/>
        <v>2.4766471270117458</v>
      </c>
      <c r="AY125" s="6">
        <f t="shared" si="201"/>
        <v>0.1022811412764866</v>
      </c>
      <c r="AZ125" s="6"/>
      <c r="BA125" s="179">
        <f t="shared" si="202"/>
        <v>0.15542060667359364</v>
      </c>
      <c r="BB125" s="179">
        <f t="shared" si="203"/>
        <v>0.59380124216012631</v>
      </c>
      <c r="BC125" s="179">
        <f t="shared" si="204"/>
        <v>0.28848843681612796</v>
      </c>
      <c r="BD125" s="179"/>
      <c r="BE125" s="546">
        <f t="shared" si="205"/>
        <v>8.4544477425757634E-3</v>
      </c>
      <c r="BF125" s="546">
        <f t="shared" si="206"/>
        <v>3.1923486137756002E-2</v>
      </c>
      <c r="BG125" s="546">
        <f t="shared" si="207"/>
        <v>4.3749999999999995E-3</v>
      </c>
      <c r="BH125" s="546">
        <f t="shared" si="208"/>
        <v>1.3622175E-2</v>
      </c>
      <c r="BI125">
        <f t="shared" si="209"/>
        <v>3.48E-3</v>
      </c>
      <c r="BK125" s="472">
        <f t="shared" si="210"/>
        <v>61.855108880331755</v>
      </c>
      <c r="BL125" s="179">
        <f t="shared" si="211"/>
        <v>0.06</v>
      </c>
      <c r="BM125" s="179">
        <f t="shared" si="212"/>
        <v>0.03</v>
      </c>
      <c r="BN125" s="546"/>
      <c r="BP125" s="472">
        <f t="shared" si="213"/>
        <v>90</v>
      </c>
      <c r="BQ125" s="546">
        <f t="shared" si="214"/>
        <v>4.8311129957575799E-3</v>
      </c>
      <c r="BR125" s="546">
        <f t="shared" si="215"/>
        <v>1.4103996607636358E-2</v>
      </c>
      <c r="BS125" s="546">
        <f t="shared" si="216"/>
        <v>8.3225578176613062E-3</v>
      </c>
      <c r="BT125" s="546">
        <f t="shared" si="217"/>
        <v>1.4374148140633333E-2</v>
      </c>
      <c r="BU125" s="546"/>
      <c r="BV125" s="655">
        <f t="shared" si="218"/>
        <v>6.6499999999999988E-3</v>
      </c>
      <c r="BW125" s="472">
        <f t="shared" si="219"/>
        <v>48.281815561688575</v>
      </c>
      <c r="BX125" s="179">
        <f t="shared" si="220"/>
        <v>0.20013692444202036</v>
      </c>
      <c r="BY125" s="6">
        <f t="shared" si="221"/>
        <v>0.99749999999999994</v>
      </c>
      <c r="BZ125" s="179">
        <f t="shared" si="222"/>
        <v>0.83289015196716287</v>
      </c>
      <c r="CA125" s="6">
        <f t="shared" si="223"/>
        <v>83.289015196716292</v>
      </c>
      <c r="CB125">
        <f t="shared" si="224"/>
        <v>15</v>
      </c>
      <c r="CD125" s="581">
        <f t="shared" si="225"/>
        <v>-50</v>
      </c>
      <c r="CE125">
        <f t="shared" si="226"/>
        <v>-50</v>
      </c>
    </row>
    <row r="126" spans="5:83" x14ac:dyDescent="0.2">
      <c r="E126" s="176">
        <v>16</v>
      </c>
      <c r="F126" s="223">
        <f t="shared" si="227"/>
        <v>0.16</v>
      </c>
      <c r="G126" s="223">
        <f t="shared" si="168"/>
        <v>0.08</v>
      </c>
      <c r="H126" s="223">
        <f t="shared" si="169"/>
        <v>0.8</v>
      </c>
      <c r="I126" s="223">
        <f t="shared" si="170"/>
        <v>0.26400000000000001</v>
      </c>
      <c r="J126" s="559">
        <f t="shared" si="171"/>
        <v>12</v>
      </c>
      <c r="K126" s="454">
        <f t="shared" si="172"/>
        <v>15.899999999999999</v>
      </c>
      <c r="L126" s="454">
        <f t="shared" si="173"/>
        <v>27.9</v>
      </c>
      <c r="M126" s="454"/>
      <c r="N126" s="223">
        <f t="shared" si="174"/>
        <v>0.56989247311827951</v>
      </c>
      <c r="O126" s="178">
        <f t="shared" si="228"/>
        <v>3.4707737084647103</v>
      </c>
      <c r="P126" s="178">
        <f t="shared" si="229"/>
        <v>1.5233225806451611</v>
      </c>
      <c r="Q126" s="223">
        <f t="shared" si="175"/>
        <v>0.69415474169294211</v>
      </c>
      <c r="R126" s="223">
        <f t="shared" si="176"/>
        <v>1.0517496086256699</v>
      </c>
      <c r="S126" s="223">
        <f t="shared" si="177"/>
        <v>5</v>
      </c>
      <c r="T126" s="223">
        <f t="shared" si="178"/>
        <v>0.3457442348008386</v>
      </c>
      <c r="U126" s="223">
        <f t="shared" si="179"/>
        <v>0.8643605870020965</v>
      </c>
      <c r="V126" s="223">
        <f t="shared" si="180"/>
        <v>0.65234761283177101</v>
      </c>
      <c r="W126" s="203">
        <f t="shared" si="181"/>
        <v>350</v>
      </c>
      <c r="X126" s="454">
        <f t="shared" si="182"/>
        <v>350</v>
      </c>
      <c r="Z126" s="223">
        <f t="shared" si="183"/>
        <v>0.65130568356374818</v>
      </c>
      <c r="AA126" s="179">
        <f t="shared" si="184"/>
        <v>1.2288786482334872</v>
      </c>
      <c r="AB126" s="179">
        <f t="shared" si="185"/>
        <v>0.31593775579129196</v>
      </c>
      <c r="AC126" s="179"/>
      <c r="AD126" s="179">
        <f t="shared" si="186"/>
        <v>0.5660377358490567</v>
      </c>
      <c r="AE126" s="563">
        <f t="shared" si="187"/>
        <v>628.14814814814804</v>
      </c>
      <c r="AF126" s="546">
        <f t="shared" si="188"/>
        <v>8.9150943396226423E-2</v>
      </c>
      <c r="AH126" s="179">
        <f t="shared" si="189"/>
        <v>0.45018514709691021</v>
      </c>
      <c r="AI126" s="179">
        <f t="shared" si="190"/>
        <v>0.45018514709691021</v>
      </c>
      <c r="AJ126" s="179">
        <f t="shared" si="191"/>
        <v>1.3112482571088224</v>
      </c>
      <c r="AL126" s="563">
        <f t="shared" si="192"/>
        <v>160</v>
      </c>
      <c r="AM126" s="472">
        <f t="shared" si="193"/>
        <v>350</v>
      </c>
      <c r="AO126" s="472">
        <f t="shared" si="194"/>
        <v>160</v>
      </c>
      <c r="AP126" s="472">
        <f t="shared" si="195"/>
        <v>350</v>
      </c>
      <c r="AR126" s="6">
        <f t="shared" si="146"/>
        <v>2.8571428571428572</v>
      </c>
      <c r="AS126" s="6">
        <f t="shared" si="230"/>
        <v>1.1254628677422756</v>
      </c>
      <c r="AT126" s="6">
        <f t="shared" si="231"/>
        <v>1.7316799894005817</v>
      </c>
      <c r="AU126" s="179">
        <f t="shared" si="232"/>
        <v>0.39391200370979645</v>
      </c>
      <c r="AW126" s="6">
        <f t="shared" si="199"/>
        <v>3.6014811767752821</v>
      </c>
      <c r="AX126" s="6">
        <f t="shared" si="200"/>
        <v>2.7283948308903652</v>
      </c>
      <c r="AY126" s="6">
        <f t="shared" si="201"/>
        <v>0.10689382650620875</v>
      </c>
      <c r="AZ126" s="6"/>
      <c r="BA126" s="179">
        <f t="shared" si="202"/>
        <v>0.16312861260556766</v>
      </c>
      <c r="BB126" s="179">
        <f t="shared" si="203"/>
        <v>0.60704324536596543</v>
      </c>
      <c r="BC126" s="179">
        <f t="shared" si="204"/>
        <v>0.29492184337363148</v>
      </c>
      <c r="BD126" s="179"/>
      <c r="BE126" s="546">
        <f t="shared" si="205"/>
        <v>9.313830487716078E-3</v>
      </c>
      <c r="BF126" s="546">
        <f t="shared" si="206"/>
        <v>3.2970434710509956E-2</v>
      </c>
      <c r="BG126" s="546">
        <f t="shared" si="207"/>
        <v>4.3749999999999995E-3</v>
      </c>
      <c r="BH126" s="546">
        <f t="shared" si="208"/>
        <v>1.3622175E-2</v>
      </c>
      <c r="BI126">
        <f t="shared" si="209"/>
        <v>3.48E-3</v>
      </c>
      <c r="BK126" s="472">
        <f t="shared" si="210"/>
        <v>63.761440198226033</v>
      </c>
      <c r="BL126" s="179">
        <f t="shared" si="211"/>
        <v>6.4000000000000001E-2</v>
      </c>
      <c r="BM126" s="179">
        <f t="shared" si="212"/>
        <v>3.2000000000000001E-2</v>
      </c>
      <c r="BN126" s="546"/>
      <c r="BP126" s="472">
        <f t="shared" si="213"/>
        <v>96</v>
      </c>
      <c r="BQ126" s="546">
        <f t="shared" si="214"/>
        <v>5.3221888501234736E-3</v>
      </c>
      <c r="BR126" s="546">
        <f t="shared" si="215"/>
        <v>1.4740060069777751E-2</v>
      </c>
      <c r="BS126" s="546">
        <f t="shared" si="216"/>
        <v>8.6978893698900824E-3</v>
      </c>
      <c r="BT126" s="546">
        <f t="shared" si="217"/>
        <v>1.5581814180440674E-2</v>
      </c>
      <c r="BU126" s="546"/>
      <c r="BV126" s="655">
        <f t="shared" si="218"/>
        <v>7.0933333333333343E-3</v>
      </c>
      <c r="BW126" s="472">
        <f t="shared" si="219"/>
        <v>51.435285803565314</v>
      </c>
      <c r="BX126" s="179">
        <f t="shared" si="220"/>
        <v>0.21119672600179135</v>
      </c>
      <c r="BY126" s="6">
        <f t="shared" si="221"/>
        <v>1.0640000000000001</v>
      </c>
      <c r="BZ126" s="179">
        <f t="shared" si="222"/>
        <v>0.83438106317605565</v>
      </c>
      <c r="CA126" s="6">
        <f t="shared" si="223"/>
        <v>83.438106317605559</v>
      </c>
      <c r="CB126">
        <f t="shared" si="224"/>
        <v>16</v>
      </c>
      <c r="CD126" s="581">
        <f t="shared" si="225"/>
        <v>-50</v>
      </c>
      <c r="CE126">
        <f t="shared" si="226"/>
        <v>-50</v>
      </c>
    </row>
    <row r="127" spans="5:83" x14ac:dyDescent="0.2">
      <c r="E127" s="176">
        <v>17</v>
      </c>
      <c r="F127" s="223">
        <f t="shared" si="227"/>
        <v>0.17</v>
      </c>
      <c r="G127" s="223">
        <f t="shared" si="168"/>
        <v>8.5000000000000006E-2</v>
      </c>
      <c r="H127" s="223">
        <f t="shared" si="169"/>
        <v>0.85000000000000009</v>
      </c>
      <c r="I127" s="223">
        <f t="shared" si="170"/>
        <v>0.28050000000000003</v>
      </c>
      <c r="J127" s="559">
        <f t="shared" si="171"/>
        <v>12</v>
      </c>
      <c r="K127" s="454">
        <f t="shared" si="172"/>
        <v>15.899999999999999</v>
      </c>
      <c r="L127" s="454">
        <f t="shared" si="173"/>
        <v>27.9</v>
      </c>
      <c r="M127" s="454"/>
      <c r="N127" s="223">
        <f t="shared" si="174"/>
        <v>0.56989247311827951</v>
      </c>
      <c r="O127" s="178">
        <f t="shared" si="228"/>
        <v>3.4707737084647103</v>
      </c>
      <c r="P127" s="178">
        <f t="shared" si="229"/>
        <v>1.5233225806451611</v>
      </c>
      <c r="Q127" s="223">
        <f t="shared" si="175"/>
        <v>0.69415474169294211</v>
      </c>
      <c r="R127" s="223">
        <f t="shared" si="176"/>
        <v>1.0517496086256699</v>
      </c>
      <c r="S127" s="223">
        <f t="shared" si="177"/>
        <v>5</v>
      </c>
      <c r="T127" s="223">
        <f t="shared" si="178"/>
        <v>0.36735324947589104</v>
      </c>
      <c r="U127" s="223">
        <f t="shared" si="179"/>
        <v>0.91838312368972763</v>
      </c>
      <c r="V127" s="223">
        <f t="shared" si="180"/>
        <v>0.69311933863375674</v>
      </c>
      <c r="W127" s="203">
        <f t="shared" si="181"/>
        <v>350</v>
      </c>
      <c r="X127" s="454">
        <f t="shared" si="182"/>
        <v>350</v>
      </c>
      <c r="Z127" s="223">
        <f t="shared" si="183"/>
        <v>0.65130568356374818</v>
      </c>
      <c r="AA127" s="179">
        <f t="shared" si="184"/>
        <v>1.2288786482334872</v>
      </c>
      <c r="AB127" s="179">
        <f t="shared" si="185"/>
        <v>0.31593775579129196</v>
      </c>
      <c r="AC127" s="179"/>
      <c r="AD127" s="179">
        <f t="shared" si="186"/>
        <v>0.5660377358490567</v>
      </c>
      <c r="AE127" s="563">
        <f t="shared" si="187"/>
        <v>667.40740740740728</v>
      </c>
      <c r="AF127" s="546">
        <f t="shared" si="188"/>
        <v>8.9150943396226423E-2</v>
      </c>
      <c r="AH127" s="179">
        <f t="shared" si="189"/>
        <v>0.46404022814119611</v>
      </c>
      <c r="AI127" s="179">
        <f t="shared" si="190"/>
        <v>0.46404022814119611</v>
      </c>
      <c r="AJ127" s="179">
        <f t="shared" si="191"/>
        <v>1.3215112801045896</v>
      </c>
      <c r="AL127" s="563">
        <f t="shared" si="192"/>
        <v>170</v>
      </c>
      <c r="AM127" s="472">
        <f t="shared" si="193"/>
        <v>350</v>
      </c>
      <c r="AO127" s="472">
        <f t="shared" si="194"/>
        <v>170</v>
      </c>
      <c r="AP127" s="472">
        <f t="shared" si="195"/>
        <v>350</v>
      </c>
      <c r="AR127" s="6">
        <f t="shared" si="146"/>
        <v>2.8571428571428572</v>
      </c>
      <c r="AS127" s="6">
        <f t="shared" si="230"/>
        <v>1.1601005703529903</v>
      </c>
      <c r="AT127" s="6">
        <f t="shared" si="231"/>
        <v>1.6970422867898669</v>
      </c>
      <c r="AU127" s="179">
        <f t="shared" si="232"/>
        <v>0.40603519962354662</v>
      </c>
      <c r="AW127" s="6">
        <f t="shared" si="199"/>
        <v>3.9443419392001671</v>
      </c>
      <c r="AX127" s="6">
        <f t="shared" si="200"/>
        <v>2.9881378327273991</v>
      </c>
      <c r="AY127" s="6">
        <f t="shared" si="201"/>
        <v>0.11130292776013787</v>
      </c>
      <c r="AZ127" s="6"/>
      <c r="BA127" s="179">
        <f t="shared" si="202"/>
        <v>0.17071702998978913</v>
      </c>
      <c r="BB127" s="179">
        <f t="shared" si="203"/>
        <v>0.61943624453464852</v>
      </c>
      <c r="BC127" s="179">
        <f t="shared" si="204"/>
        <v>0.30094277546975001</v>
      </c>
      <c r="BD127" s="179"/>
      <c r="BE127" s="546">
        <f t="shared" si="205"/>
        <v>1.0200506514987096E-2</v>
      </c>
      <c r="BF127" s="546">
        <f t="shared" si="206"/>
        <v>3.398514620849085E-2</v>
      </c>
      <c r="BG127" s="546">
        <f t="shared" si="207"/>
        <v>4.3749999999999995E-3</v>
      </c>
      <c r="BH127" s="546">
        <f t="shared" si="208"/>
        <v>1.3622175E-2</v>
      </c>
      <c r="BI127">
        <f t="shared" si="209"/>
        <v>3.48E-3</v>
      </c>
      <c r="BK127" s="472">
        <f t="shared" si="210"/>
        <v>65.662827723477946</v>
      </c>
      <c r="BL127" s="179">
        <f t="shared" si="211"/>
        <v>6.8000000000000005E-2</v>
      </c>
      <c r="BM127" s="179">
        <f t="shared" si="212"/>
        <v>3.4000000000000002E-2</v>
      </c>
      <c r="BN127" s="546"/>
      <c r="BP127" s="472">
        <f t="shared" si="213"/>
        <v>102.00000000000001</v>
      </c>
      <c r="BQ127" s="546">
        <f t="shared" si="214"/>
        <v>5.8288608657069132E-3</v>
      </c>
      <c r="BR127" s="546">
        <f t="shared" si="215"/>
        <v>1.5348050441727554E-2</v>
      </c>
      <c r="BS127" s="546">
        <f t="shared" si="216"/>
        <v>9.0566554107436373E-3</v>
      </c>
      <c r="BT127" s="546">
        <f t="shared" si="217"/>
        <v>1.680850912699355E-2</v>
      </c>
      <c r="BU127" s="546"/>
      <c r="BV127" s="655">
        <f t="shared" si="218"/>
        <v>7.5366666666666672E-3</v>
      </c>
      <c r="BW127" s="472">
        <f t="shared" si="219"/>
        <v>54.578742511838321</v>
      </c>
      <c r="BX127" s="179">
        <f t="shared" si="220"/>
        <v>0.22224157023531627</v>
      </c>
      <c r="BY127" s="6">
        <f t="shared" si="221"/>
        <v>1.1305000000000001</v>
      </c>
      <c r="BZ127" s="179">
        <f t="shared" si="222"/>
        <v>0.83571025307024749</v>
      </c>
      <c r="CA127" s="6">
        <f t="shared" si="223"/>
        <v>83.571025307024755</v>
      </c>
      <c r="CB127">
        <f t="shared" si="224"/>
        <v>17</v>
      </c>
      <c r="CD127" s="581">
        <f t="shared" si="225"/>
        <v>-50</v>
      </c>
      <c r="CE127">
        <f t="shared" si="226"/>
        <v>-50</v>
      </c>
    </row>
    <row r="128" spans="5:83" x14ac:dyDescent="0.2">
      <c r="E128" s="176">
        <v>18</v>
      </c>
      <c r="F128" s="223">
        <f t="shared" si="227"/>
        <v>0.18</v>
      </c>
      <c r="G128" s="223">
        <f t="shared" si="168"/>
        <v>0.09</v>
      </c>
      <c r="H128" s="223">
        <f t="shared" si="169"/>
        <v>0.89999999999999991</v>
      </c>
      <c r="I128" s="223">
        <f t="shared" si="170"/>
        <v>0.29699999999999999</v>
      </c>
      <c r="J128" s="559">
        <f t="shared" si="171"/>
        <v>12</v>
      </c>
      <c r="K128" s="454">
        <f t="shared" si="172"/>
        <v>15.899999999999999</v>
      </c>
      <c r="L128" s="454">
        <f t="shared" si="173"/>
        <v>27.9</v>
      </c>
      <c r="M128" s="454"/>
      <c r="N128" s="223">
        <f t="shared" si="174"/>
        <v>0.56989247311827951</v>
      </c>
      <c r="O128" s="178">
        <f t="shared" si="228"/>
        <v>3.4707737084647103</v>
      </c>
      <c r="P128" s="178">
        <f t="shared" si="229"/>
        <v>1.5233225806451611</v>
      </c>
      <c r="Q128" s="223">
        <f t="shared" si="175"/>
        <v>0.69415474169294211</v>
      </c>
      <c r="R128" s="223">
        <f t="shared" si="176"/>
        <v>1.0517496086256699</v>
      </c>
      <c r="S128" s="223">
        <f t="shared" si="177"/>
        <v>5</v>
      </c>
      <c r="T128" s="223">
        <f t="shared" si="178"/>
        <v>0.38896226415094337</v>
      </c>
      <c r="U128" s="223">
        <f t="shared" si="179"/>
        <v>0.97240566037735843</v>
      </c>
      <c r="V128" s="223">
        <f t="shared" si="180"/>
        <v>0.73389106443574226</v>
      </c>
      <c r="W128" s="203">
        <f t="shared" si="181"/>
        <v>350</v>
      </c>
      <c r="X128" s="454">
        <f t="shared" si="182"/>
        <v>350</v>
      </c>
      <c r="Z128" s="223">
        <f t="shared" si="183"/>
        <v>0.65130568356374818</v>
      </c>
      <c r="AA128" s="179">
        <f t="shared" si="184"/>
        <v>1.2288786482334872</v>
      </c>
      <c r="AB128" s="179">
        <f t="shared" si="185"/>
        <v>0.31593775579129196</v>
      </c>
      <c r="AC128" s="179"/>
      <c r="AD128" s="179">
        <f t="shared" si="186"/>
        <v>0.5660377358490567</v>
      </c>
      <c r="AE128" s="563">
        <f t="shared" si="187"/>
        <v>706.66666666666652</v>
      </c>
      <c r="AF128" s="546">
        <f t="shared" si="188"/>
        <v>8.9150943396226423E-2</v>
      </c>
      <c r="AH128" s="179">
        <f t="shared" si="189"/>
        <v>0.47749345545253286</v>
      </c>
      <c r="AI128" s="179">
        <f t="shared" si="190"/>
        <v>0.47749345545253286</v>
      </c>
      <c r="AJ128" s="179">
        <f t="shared" si="191"/>
        <v>1.3314766336685429</v>
      </c>
      <c r="AL128" s="563">
        <f t="shared" si="192"/>
        <v>180</v>
      </c>
      <c r="AM128" s="472">
        <f t="shared" si="193"/>
        <v>350</v>
      </c>
      <c r="AO128" s="472">
        <f t="shared" si="194"/>
        <v>180</v>
      </c>
      <c r="AP128" s="472">
        <f t="shared" si="195"/>
        <v>350</v>
      </c>
      <c r="AR128" s="6">
        <f t="shared" si="146"/>
        <v>2.8571428571428572</v>
      </c>
      <c r="AS128" s="6">
        <f t="shared" si="230"/>
        <v>1.1937336386313322</v>
      </c>
      <c r="AT128" s="6">
        <f t="shared" si="231"/>
        <v>1.663409218511525</v>
      </c>
      <c r="AU128" s="179">
        <f t="shared" si="232"/>
        <v>0.41780677352096623</v>
      </c>
      <c r="AW128" s="6">
        <f t="shared" si="199"/>
        <v>4.2974410990727963</v>
      </c>
      <c r="AX128" s="6">
        <f t="shared" si="200"/>
        <v>3.2556371962672692</v>
      </c>
      <c r="AY128" s="6">
        <f t="shared" si="201"/>
        <v>0.11551452906330031</v>
      </c>
      <c r="AZ128" s="6"/>
      <c r="BA128" s="179">
        <f t="shared" si="202"/>
        <v>0.17819459808757793</v>
      </c>
      <c r="BB128" s="179">
        <f t="shared" si="203"/>
        <v>0.63104688170662793</v>
      </c>
      <c r="BC128" s="179">
        <f t="shared" si="204"/>
        <v>0.30658361002913681</v>
      </c>
      <c r="BD128" s="179"/>
      <c r="BE128" s="546">
        <f t="shared" si="205"/>
        <v>1.1113660175657701E-2</v>
      </c>
      <c r="BF128" s="546">
        <f t="shared" si="206"/>
        <v>3.497042694370487E-2</v>
      </c>
      <c r="BG128" s="546">
        <f t="shared" si="207"/>
        <v>4.3749999999999995E-3</v>
      </c>
      <c r="BH128" s="546">
        <f t="shared" si="208"/>
        <v>1.3622175E-2</v>
      </c>
      <c r="BI128">
        <f t="shared" si="209"/>
        <v>3.48E-3</v>
      </c>
      <c r="BK128" s="472">
        <f t="shared" si="210"/>
        <v>67.561262119362567</v>
      </c>
      <c r="BL128" s="179">
        <f t="shared" si="211"/>
        <v>7.1999999999999995E-2</v>
      </c>
      <c r="BM128" s="179">
        <f t="shared" si="212"/>
        <v>3.5999999999999997E-2</v>
      </c>
      <c r="BN128" s="546"/>
      <c r="BP128" s="472">
        <f t="shared" si="213"/>
        <v>107.99999999999999</v>
      </c>
      <c r="BQ128" s="546">
        <f t="shared" si="214"/>
        <v>6.3506629575186867E-3</v>
      </c>
      <c r="BR128" s="546">
        <f t="shared" si="215"/>
        <v>1.5928806676466355E-2</v>
      </c>
      <c r="BS128" s="546">
        <f t="shared" si="216"/>
        <v>9.3993509938497845E-3</v>
      </c>
      <c r="BT128" s="546">
        <f t="shared" si="217"/>
        <v>1.8053386251377455E-2</v>
      </c>
      <c r="BU128" s="546"/>
      <c r="BV128" s="655">
        <f t="shared" si="218"/>
        <v>7.9799999999999992E-3</v>
      </c>
      <c r="BW128" s="472">
        <f t="shared" si="219"/>
        <v>57.712206879212275</v>
      </c>
      <c r="BX128" s="179">
        <f t="shared" si="220"/>
        <v>0.23327346899857482</v>
      </c>
      <c r="BY128" s="6">
        <f t="shared" si="221"/>
        <v>1.1969999999999998</v>
      </c>
      <c r="BZ128" s="179">
        <f t="shared" si="222"/>
        <v>0.83690289021308317</v>
      </c>
      <c r="CA128" s="6">
        <f t="shared" si="223"/>
        <v>83.690289021308317</v>
      </c>
      <c r="CB128">
        <f t="shared" si="224"/>
        <v>18</v>
      </c>
      <c r="CD128" s="581">
        <f t="shared" si="225"/>
        <v>-50</v>
      </c>
      <c r="CE128">
        <f t="shared" si="226"/>
        <v>-50</v>
      </c>
    </row>
    <row r="129" spans="5:83" x14ac:dyDescent="0.2">
      <c r="E129" s="176">
        <v>19</v>
      </c>
      <c r="F129" s="223">
        <f t="shared" si="227"/>
        <v>0.19</v>
      </c>
      <c r="G129" s="223">
        <f t="shared" si="168"/>
        <v>9.5000000000000001E-2</v>
      </c>
      <c r="H129" s="223">
        <f t="shared" si="169"/>
        <v>0.95</v>
      </c>
      <c r="I129" s="223">
        <f t="shared" si="170"/>
        <v>0.3135</v>
      </c>
      <c r="J129" s="559">
        <f t="shared" si="171"/>
        <v>12</v>
      </c>
      <c r="K129" s="454">
        <f t="shared" si="172"/>
        <v>15.899999999999999</v>
      </c>
      <c r="L129" s="454">
        <f t="shared" si="173"/>
        <v>27.9</v>
      </c>
      <c r="M129" s="454"/>
      <c r="N129" s="223">
        <f t="shared" si="174"/>
        <v>0.56989247311827951</v>
      </c>
      <c r="O129" s="178">
        <f t="shared" si="228"/>
        <v>3.4707737084647103</v>
      </c>
      <c r="P129" s="178">
        <f t="shared" si="229"/>
        <v>1.5233225806451611</v>
      </c>
      <c r="Q129" s="223">
        <f t="shared" si="175"/>
        <v>0.69415474169294211</v>
      </c>
      <c r="R129" s="223">
        <f t="shared" si="176"/>
        <v>1.0517496086256699</v>
      </c>
      <c r="S129" s="223">
        <f t="shared" si="177"/>
        <v>5</v>
      </c>
      <c r="T129" s="223">
        <f t="shared" si="178"/>
        <v>0.41057127882599587</v>
      </c>
      <c r="U129" s="223">
        <f t="shared" si="179"/>
        <v>1.0264281970649898</v>
      </c>
      <c r="V129" s="223">
        <f t="shared" si="180"/>
        <v>0.7746627902377281</v>
      </c>
      <c r="W129" s="203">
        <f t="shared" si="181"/>
        <v>350</v>
      </c>
      <c r="X129" s="454">
        <f t="shared" si="182"/>
        <v>350</v>
      </c>
      <c r="Z129" s="223">
        <f t="shared" si="183"/>
        <v>0.65130568356374818</v>
      </c>
      <c r="AA129" s="179">
        <f t="shared" si="184"/>
        <v>1.2288786482334872</v>
      </c>
      <c r="AB129" s="179">
        <f t="shared" si="185"/>
        <v>0.31593775579129196</v>
      </c>
      <c r="AC129" s="179"/>
      <c r="AD129" s="179">
        <f t="shared" si="186"/>
        <v>0.5660377358490567</v>
      </c>
      <c r="AE129" s="563">
        <f t="shared" si="187"/>
        <v>745.92592592592587</v>
      </c>
      <c r="AF129" s="546">
        <f t="shared" si="188"/>
        <v>8.9150943396226423E-2</v>
      </c>
      <c r="AH129" s="179">
        <f t="shared" si="189"/>
        <v>0.49057789051960615</v>
      </c>
      <c r="AI129" s="179">
        <f t="shared" si="190"/>
        <v>0.49057789051960615</v>
      </c>
      <c r="AJ129" s="179">
        <f t="shared" si="191"/>
        <v>1.3411688077923007</v>
      </c>
      <c r="AL129" s="563">
        <f t="shared" si="192"/>
        <v>190</v>
      </c>
      <c r="AM129" s="472">
        <f t="shared" si="193"/>
        <v>350</v>
      </c>
      <c r="AO129" s="472">
        <f t="shared" si="194"/>
        <v>190</v>
      </c>
      <c r="AP129" s="472">
        <f t="shared" si="195"/>
        <v>350</v>
      </c>
      <c r="AR129" s="6">
        <f t="shared" si="146"/>
        <v>2.8571428571428572</v>
      </c>
      <c r="AS129" s="6">
        <f t="shared" si="230"/>
        <v>1.2264447262990155</v>
      </c>
      <c r="AT129" s="6">
        <f t="shared" si="231"/>
        <v>1.6306981308438417</v>
      </c>
      <c r="AU129" s="179">
        <f t="shared" si="232"/>
        <v>0.42925565420465539</v>
      </c>
      <c r="AW129" s="6">
        <f t="shared" si="199"/>
        <v>4.6604899599362586</v>
      </c>
      <c r="AX129" s="6">
        <f t="shared" si="200"/>
        <v>3.5306742120729231</v>
      </c>
      <c r="AY129" s="6">
        <f t="shared" si="201"/>
        <v>0.11953419940599147</v>
      </c>
      <c r="AZ129" s="6"/>
      <c r="BA129" s="179">
        <f t="shared" si="202"/>
        <v>0.18556896960901423</v>
      </c>
      <c r="BB129" s="179">
        <f t="shared" si="203"/>
        <v>0.6419325647326507</v>
      </c>
      <c r="BC129" s="179">
        <f t="shared" si="204"/>
        <v>0.31187223769927946</v>
      </c>
      <c r="BD129" s="179"/>
      <c r="BE129" s="546">
        <f t="shared" si="205"/>
        <v>1.2052544868612935E-2</v>
      </c>
      <c r="BF129" s="546">
        <f t="shared" si="206"/>
        <v>3.5928698256929653E-2</v>
      </c>
      <c r="BG129" s="546">
        <f t="shared" si="207"/>
        <v>4.3749999999999995E-3</v>
      </c>
      <c r="BH129" s="546">
        <f t="shared" si="208"/>
        <v>1.3622175E-2</v>
      </c>
      <c r="BI129">
        <f t="shared" si="209"/>
        <v>3.48E-3</v>
      </c>
      <c r="BK129" s="472">
        <f t="shared" si="210"/>
        <v>69.458418125542579</v>
      </c>
      <c r="BL129" s="179">
        <f t="shared" si="211"/>
        <v>7.6000000000000012E-2</v>
      </c>
      <c r="BM129" s="179">
        <f t="shared" si="212"/>
        <v>3.8000000000000006E-2</v>
      </c>
      <c r="BN129" s="546"/>
      <c r="BP129" s="472">
        <f t="shared" si="213"/>
        <v>114.00000000000001</v>
      </c>
      <c r="BQ129" s="546">
        <f t="shared" si="214"/>
        <v>6.887168496350249E-3</v>
      </c>
      <c r="BR129" s="546">
        <f t="shared" si="215"/>
        <v>1.6483096706569552E-2</v>
      </c>
      <c r="BS129" s="546">
        <f t="shared" si="216"/>
        <v>9.7264292647555872E-3</v>
      </c>
      <c r="BT129" s="546">
        <f t="shared" si="217"/>
        <v>1.9315681862584189E-2</v>
      </c>
      <c r="BU129" s="546"/>
      <c r="BV129" s="655">
        <f t="shared" si="218"/>
        <v>8.4233333333333348E-3</v>
      </c>
      <c r="BW129" s="472">
        <f t="shared" si="219"/>
        <v>60.835709663592915</v>
      </c>
      <c r="BX129" s="179">
        <f t="shared" si="220"/>
        <v>0.24429412778913553</v>
      </c>
      <c r="BY129" s="6">
        <f t="shared" si="221"/>
        <v>1.2635000000000001</v>
      </c>
      <c r="BZ129" s="179">
        <f t="shared" si="222"/>
        <v>0.83797912242346928</v>
      </c>
      <c r="CA129" s="6">
        <f t="shared" si="223"/>
        <v>83.797912242346925</v>
      </c>
      <c r="CB129">
        <f t="shared" si="224"/>
        <v>19</v>
      </c>
      <c r="CD129" s="581">
        <f t="shared" si="225"/>
        <v>-50</v>
      </c>
      <c r="CE129">
        <f t="shared" si="226"/>
        <v>-50</v>
      </c>
    </row>
    <row r="130" spans="5:83" x14ac:dyDescent="0.2">
      <c r="E130" s="176">
        <v>20</v>
      </c>
      <c r="F130" s="223">
        <f t="shared" si="227"/>
        <v>0.2</v>
      </c>
      <c r="G130" s="223">
        <f t="shared" si="168"/>
        <v>0.1</v>
      </c>
      <c r="H130" s="223">
        <f t="shared" si="169"/>
        <v>1</v>
      </c>
      <c r="I130" s="223">
        <f t="shared" si="170"/>
        <v>0.33</v>
      </c>
      <c r="J130" s="559">
        <f t="shared" si="171"/>
        <v>12</v>
      </c>
      <c r="K130" s="454">
        <f t="shared" si="172"/>
        <v>15.899999999999999</v>
      </c>
      <c r="L130" s="454">
        <f t="shared" si="173"/>
        <v>27.9</v>
      </c>
      <c r="M130" s="454"/>
      <c r="N130" s="223">
        <f t="shared" si="174"/>
        <v>0.56989247311827951</v>
      </c>
      <c r="O130" s="178">
        <f t="shared" si="228"/>
        <v>3.4707737084647103</v>
      </c>
      <c r="P130" s="178">
        <f t="shared" si="229"/>
        <v>1.5233225806451611</v>
      </c>
      <c r="Q130" s="223">
        <f t="shared" si="175"/>
        <v>0.69415474169294211</v>
      </c>
      <c r="R130" s="223">
        <f t="shared" si="176"/>
        <v>1.0517496086256699</v>
      </c>
      <c r="S130" s="223">
        <f t="shared" si="177"/>
        <v>5</v>
      </c>
      <c r="T130" s="223">
        <f t="shared" si="178"/>
        <v>0.43218029350104825</v>
      </c>
      <c r="U130" s="223">
        <f t="shared" si="179"/>
        <v>1.0804507337526208</v>
      </c>
      <c r="V130" s="223">
        <f t="shared" si="180"/>
        <v>0.81543451603971384</v>
      </c>
      <c r="W130" s="203">
        <f t="shared" si="181"/>
        <v>350</v>
      </c>
      <c r="X130" s="454">
        <f t="shared" si="182"/>
        <v>350</v>
      </c>
      <c r="Z130" s="223">
        <f t="shared" si="183"/>
        <v>0.65130568356374818</v>
      </c>
      <c r="AA130" s="179">
        <f t="shared" si="184"/>
        <v>1.2288786482334872</v>
      </c>
      <c r="AB130" s="179">
        <f t="shared" si="185"/>
        <v>0.31593775579129196</v>
      </c>
      <c r="AC130" s="179"/>
      <c r="AD130" s="179">
        <f t="shared" si="186"/>
        <v>0.5660377358490567</v>
      </c>
      <c r="AE130" s="563">
        <f t="shared" si="187"/>
        <v>785.18518518518511</v>
      </c>
      <c r="AF130" s="546">
        <f t="shared" si="188"/>
        <v>8.9150943396226423E-2</v>
      </c>
      <c r="AH130" s="179">
        <f t="shared" si="189"/>
        <v>0.50332229568471665</v>
      </c>
      <c r="AI130" s="179">
        <f t="shared" si="190"/>
        <v>0.50332229568471665</v>
      </c>
      <c r="AJ130" s="179">
        <f t="shared" si="191"/>
        <v>1.3506091079146048</v>
      </c>
      <c r="AL130" s="563">
        <f t="shared" si="192"/>
        <v>200</v>
      </c>
      <c r="AM130" s="472">
        <f t="shared" si="193"/>
        <v>350</v>
      </c>
      <c r="AO130" s="472">
        <f t="shared" si="194"/>
        <v>200</v>
      </c>
      <c r="AP130" s="472">
        <f t="shared" si="195"/>
        <v>350</v>
      </c>
      <c r="AR130" s="6">
        <f t="shared" si="146"/>
        <v>2.8571428571428572</v>
      </c>
      <c r="AS130" s="6">
        <f t="shared" si="230"/>
        <v>1.2583057392117916</v>
      </c>
      <c r="AT130" s="6">
        <f t="shared" si="231"/>
        <v>1.5988371179310656</v>
      </c>
      <c r="AU130" s="179">
        <f t="shared" si="232"/>
        <v>0.44040700872412702</v>
      </c>
      <c r="AW130" s="6">
        <f t="shared" si="199"/>
        <v>5.0332229568471663</v>
      </c>
      <c r="AX130" s="6">
        <f t="shared" si="200"/>
        <v>3.8130476945811869</v>
      </c>
      <c r="AY130" s="6">
        <f t="shared" si="201"/>
        <v>0.12336706156875507</v>
      </c>
      <c r="AZ130" s="6"/>
      <c r="BA130" s="179">
        <f t="shared" si="202"/>
        <v>0.19284689570005659</v>
      </c>
      <c r="BB130" s="179">
        <f t="shared" si="203"/>
        <v>0.65214313871240226</v>
      </c>
      <c r="BC130" s="179">
        <f t="shared" si="204"/>
        <v>0.31683287489110873</v>
      </c>
      <c r="BD130" s="179"/>
      <c r="BE130" s="546">
        <f t="shared" si="205"/>
        <v>1.3016473813401977E-2</v>
      </c>
      <c r="BF130" s="546">
        <f t="shared" si="206"/>
        <v>3.6862066630209425E-2</v>
      </c>
      <c r="BG130" s="546">
        <f t="shared" si="207"/>
        <v>4.3749999999999995E-3</v>
      </c>
      <c r="BH130" s="546">
        <f t="shared" si="208"/>
        <v>1.3622175E-2</v>
      </c>
      <c r="BI130">
        <f t="shared" si="209"/>
        <v>3.48E-3</v>
      </c>
      <c r="BK130" s="472">
        <f t="shared" si="210"/>
        <v>71.355715443611402</v>
      </c>
      <c r="BL130" s="179">
        <f t="shared" si="211"/>
        <v>8.0000000000000016E-2</v>
      </c>
      <c r="BM130" s="179">
        <f t="shared" si="212"/>
        <v>4.0000000000000008E-2</v>
      </c>
      <c r="BN130" s="546"/>
      <c r="BP130" s="472">
        <f t="shared" si="213"/>
        <v>120.00000000000003</v>
      </c>
      <c r="BQ130" s="546">
        <f t="shared" si="214"/>
        <v>7.4379850362297009E-3</v>
      </c>
      <c r="BR130" s="546">
        <f t="shared" si="215"/>
        <v>1.7011626934786542E-2</v>
      </c>
      <c r="BS130" s="546">
        <f t="shared" si="216"/>
        <v>1.0038307061176498E-2</v>
      </c>
      <c r="BT130" s="546">
        <f t="shared" si="217"/>
        <v>2.0594703183335807E-2</v>
      </c>
      <c r="BU130" s="546"/>
      <c r="BV130" s="655">
        <f t="shared" si="218"/>
        <v>8.8666666666666685E-3</v>
      </c>
      <c r="BW130" s="472">
        <f t="shared" si="219"/>
        <v>63.949288882195226</v>
      </c>
      <c r="BX130" s="179">
        <f t="shared" si="220"/>
        <v>0.25530500432580666</v>
      </c>
      <c r="BY130" s="6">
        <f t="shared" si="221"/>
        <v>1.33</v>
      </c>
      <c r="BZ130" s="179">
        <f t="shared" si="222"/>
        <v>0.83895527760957145</v>
      </c>
      <c r="CA130" s="6">
        <f t="shared" si="223"/>
        <v>83.895527760957151</v>
      </c>
      <c r="CB130">
        <f t="shared" si="224"/>
        <v>20</v>
      </c>
      <c r="CD130" s="581">
        <f t="shared" si="225"/>
        <v>-50</v>
      </c>
      <c r="CE130">
        <f t="shared" si="226"/>
        <v>-50</v>
      </c>
    </row>
    <row r="131" spans="5:83" x14ac:dyDescent="0.2">
      <c r="E131" s="176">
        <v>21</v>
      </c>
      <c r="F131" s="223">
        <f t="shared" si="227"/>
        <v>0.21</v>
      </c>
      <c r="G131" s="223">
        <f t="shared" si="168"/>
        <v>0.105</v>
      </c>
      <c r="H131" s="223">
        <f t="shared" si="169"/>
        <v>1.05</v>
      </c>
      <c r="I131" s="223">
        <f t="shared" si="170"/>
        <v>0.34649999999999997</v>
      </c>
      <c r="J131" s="559">
        <f t="shared" si="171"/>
        <v>12</v>
      </c>
      <c r="K131" s="454">
        <f t="shared" si="172"/>
        <v>15.899999999999999</v>
      </c>
      <c r="L131" s="454">
        <f t="shared" si="173"/>
        <v>27.9</v>
      </c>
      <c r="M131" s="454"/>
      <c r="N131" s="223">
        <f t="shared" si="174"/>
        <v>0.56989247311827951</v>
      </c>
      <c r="O131" s="178">
        <f t="shared" si="228"/>
        <v>3.4707737084647103</v>
      </c>
      <c r="P131" s="178">
        <f t="shared" si="229"/>
        <v>1.5233225806451611</v>
      </c>
      <c r="Q131" s="223">
        <f t="shared" si="175"/>
        <v>0.69415474169294211</v>
      </c>
      <c r="R131" s="223">
        <f t="shared" si="176"/>
        <v>1.0517496086256699</v>
      </c>
      <c r="S131" s="223">
        <f t="shared" si="177"/>
        <v>5</v>
      </c>
      <c r="T131" s="223">
        <f t="shared" si="178"/>
        <v>0.45378930817610069</v>
      </c>
      <c r="U131" s="223">
        <f t="shared" si="179"/>
        <v>1.1344732704402516</v>
      </c>
      <c r="V131" s="223">
        <f t="shared" si="180"/>
        <v>0.85620624184169958</v>
      </c>
      <c r="W131" s="203">
        <f t="shared" si="181"/>
        <v>350</v>
      </c>
      <c r="X131" s="454">
        <f t="shared" si="182"/>
        <v>350</v>
      </c>
      <c r="Z131" s="223">
        <f t="shared" si="183"/>
        <v>0.65130568356374818</v>
      </c>
      <c r="AA131" s="179">
        <f t="shared" si="184"/>
        <v>1.2288786482334872</v>
      </c>
      <c r="AB131" s="179">
        <f t="shared" si="185"/>
        <v>0.31593775579129196</v>
      </c>
      <c r="AC131" s="179"/>
      <c r="AD131" s="179">
        <f t="shared" si="186"/>
        <v>0.5660377358490567</v>
      </c>
      <c r="AE131" s="563">
        <f t="shared" si="187"/>
        <v>824.44444444444412</v>
      </c>
      <c r="AF131" s="546">
        <f t="shared" si="188"/>
        <v>8.9150943396226423E-2</v>
      </c>
      <c r="AH131" s="179">
        <f t="shared" si="189"/>
        <v>0.51575187832910507</v>
      </c>
      <c r="AI131" s="179">
        <f t="shared" si="190"/>
        <v>0.51575187832910507</v>
      </c>
      <c r="AJ131" s="179">
        <f t="shared" si="191"/>
        <v>1.3598162061697074</v>
      </c>
      <c r="AL131" s="563">
        <f t="shared" si="192"/>
        <v>210</v>
      </c>
      <c r="AM131" s="472">
        <f t="shared" si="193"/>
        <v>350</v>
      </c>
      <c r="AO131" s="472">
        <f t="shared" si="194"/>
        <v>210</v>
      </c>
      <c r="AP131" s="472">
        <f t="shared" si="195"/>
        <v>350</v>
      </c>
      <c r="AR131" s="6">
        <f t="shared" si="146"/>
        <v>2.8571428571428572</v>
      </c>
      <c r="AS131" s="6">
        <f t="shared" si="230"/>
        <v>1.2893796958227628</v>
      </c>
      <c r="AT131" s="6">
        <f t="shared" si="231"/>
        <v>1.5677631613200944</v>
      </c>
      <c r="AU131" s="179">
        <f t="shared" si="232"/>
        <v>0.45128289353796697</v>
      </c>
      <c r="AW131" s="6">
        <f t="shared" si="199"/>
        <v>5.4153947224556029</v>
      </c>
      <c r="AX131" s="6">
        <f t="shared" si="200"/>
        <v>4.1025717594360627</v>
      </c>
      <c r="AY131" s="6">
        <f t="shared" si="201"/>
        <v>0.12701784871806318</v>
      </c>
      <c r="AZ131" s="6"/>
      <c r="BA131" s="179">
        <f t="shared" si="202"/>
        <v>0.20003437178070108</v>
      </c>
      <c r="BB131" s="179">
        <f t="shared" si="203"/>
        <v>0.66172218563132856</v>
      </c>
      <c r="BC131" s="179">
        <f t="shared" si="204"/>
        <v>0.32148669518588707</v>
      </c>
      <c r="BD131" s="179"/>
      <c r="BE131" s="546">
        <f t="shared" si="205"/>
        <v>1.4004812462794908E-2</v>
      </c>
      <c r="BF131" s="546">
        <f t="shared" si="206"/>
        <v>3.7772378189127834E-2</v>
      </c>
      <c r="BG131" s="546">
        <f t="shared" si="207"/>
        <v>4.3749999999999995E-3</v>
      </c>
      <c r="BH131" s="546">
        <f t="shared" si="208"/>
        <v>1.3622175E-2</v>
      </c>
      <c r="BI131">
        <f t="shared" si="209"/>
        <v>3.48E-3</v>
      </c>
      <c r="BK131" s="472">
        <f t="shared" si="210"/>
        <v>73.25436565192274</v>
      </c>
      <c r="BL131" s="179">
        <f t="shared" si="211"/>
        <v>8.4000000000000005E-2</v>
      </c>
      <c r="BM131" s="179">
        <f t="shared" si="212"/>
        <v>4.2000000000000003E-2</v>
      </c>
      <c r="BN131" s="546"/>
      <c r="BP131" s="472">
        <f t="shared" si="213"/>
        <v>126</v>
      </c>
      <c r="BQ131" s="546">
        <f t="shared" si="214"/>
        <v>8.0027499787399484E-3</v>
      </c>
      <c r="BR131" s="546">
        <f t="shared" si="215"/>
        <v>1.7515050038268098E-2</v>
      </c>
      <c r="BS131" s="546">
        <f t="shared" si="216"/>
        <v>1.0335369518154348E-2</v>
      </c>
      <c r="BT131" s="546">
        <f t="shared" si="217"/>
        <v>2.1889818519238099E-2</v>
      </c>
      <c r="BU131" s="546"/>
      <c r="BV131" s="655">
        <f t="shared" si="218"/>
        <v>9.3100000000000006E-3</v>
      </c>
      <c r="BW131" s="472">
        <f t="shared" si="219"/>
        <v>67.052988054400487</v>
      </c>
      <c r="BX131" s="179">
        <f t="shared" si="220"/>
        <v>0.26630735370632319</v>
      </c>
      <c r="BY131" s="6">
        <f t="shared" si="221"/>
        <v>1.3965000000000001</v>
      </c>
      <c r="BZ131" s="179">
        <f t="shared" si="222"/>
        <v>0.8398447342004256</v>
      </c>
      <c r="CA131" s="6">
        <f t="shared" si="223"/>
        <v>83.984473420042562</v>
      </c>
      <c r="CB131">
        <f t="shared" si="224"/>
        <v>21</v>
      </c>
      <c r="CD131" s="581">
        <f t="shared" si="225"/>
        <v>-50</v>
      </c>
      <c r="CE131">
        <f t="shared" si="226"/>
        <v>-50</v>
      </c>
    </row>
    <row r="132" spans="5:83" x14ac:dyDescent="0.2">
      <c r="E132" s="176">
        <v>22</v>
      </c>
      <c r="F132" s="223">
        <f t="shared" si="227"/>
        <v>0.22</v>
      </c>
      <c r="G132" s="223">
        <f t="shared" si="168"/>
        <v>0.11</v>
      </c>
      <c r="H132" s="223">
        <f t="shared" si="169"/>
        <v>1.1000000000000001</v>
      </c>
      <c r="I132" s="223">
        <f t="shared" si="170"/>
        <v>0.36299999999999999</v>
      </c>
      <c r="J132" s="559">
        <f t="shared" si="171"/>
        <v>12</v>
      </c>
      <c r="K132" s="454">
        <f t="shared" si="172"/>
        <v>15.899999999999999</v>
      </c>
      <c r="L132" s="454">
        <f t="shared" si="173"/>
        <v>27.9</v>
      </c>
      <c r="M132" s="454"/>
      <c r="N132" s="223">
        <f t="shared" si="174"/>
        <v>0.56989247311827951</v>
      </c>
      <c r="O132" s="178">
        <f t="shared" si="228"/>
        <v>3.4707737084647103</v>
      </c>
      <c r="P132" s="178">
        <f t="shared" si="229"/>
        <v>1.5233225806451611</v>
      </c>
      <c r="Q132" s="223">
        <f t="shared" si="175"/>
        <v>0.69415474169294211</v>
      </c>
      <c r="R132" s="223">
        <f t="shared" si="176"/>
        <v>1.0517496086256699</v>
      </c>
      <c r="S132" s="223">
        <f t="shared" si="177"/>
        <v>5</v>
      </c>
      <c r="T132" s="223">
        <f t="shared" si="178"/>
        <v>0.47539832285115308</v>
      </c>
      <c r="U132" s="223">
        <f t="shared" si="179"/>
        <v>1.1884958071278828</v>
      </c>
      <c r="V132" s="223">
        <f t="shared" si="180"/>
        <v>0.8969779676436852</v>
      </c>
      <c r="W132" s="203">
        <f t="shared" si="181"/>
        <v>350</v>
      </c>
      <c r="X132" s="454">
        <f t="shared" si="182"/>
        <v>350</v>
      </c>
      <c r="Z132" s="223">
        <f t="shared" si="183"/>
        <v>0.65130568356374818</v>
      </c>
      <c r="AA132" s="179">
        <f t="shared" si="184"/>
        <v>1.2288786482334872</v>
      </c>
      <c r="AB132" s="179">
        <f t="shared" si="185"/>
        <v>0.31593775579129196</v>
      </c>
      <c r="AC132" s="179"/>
      <c r="AD132" s="179">
        <f t="shared" si="186"/>
        <v>0.5660377358490567</v>
      </c>
      <c r="AE132" s="563">
        <f t="shared" si="187"/>
        <v>863.7037037037037</v>
      </c>
      <c r="AF132" s="546">
        <f t="shared" si="188"/>
        <v>8.9150943396226423E-2</v>
      </c>
      <c r="AH132" s="179">
        <f t="shared" si="189"/>
        <v>0.52788887719544408</v>
      </c>
      <c r="AI132" s="179">
        <f t="shared" si="190"/>
        <v>0.52788887719544408</v>
      </c>
      <c r="AJ132" s="179">
        <f t="shared" si="191"/>
        <v>1.3688065757003289</v>
      </c>
      <c r="AL132" s="563">
        <f t="shared" si="192"/>
        <v>220</v>
      </c>
      <c r="AM132" s="472">
        <f t="shared" si="193"/>
        <v>350</v>
      </c>
      <c r="AO132" s="472">
        <f t="shared" si="194"/>
        <v>220</v>
      </c>
      <c r="AP132" s="472">
        <f t="shared" si="195"/>
        <v>350</v>
      </c>
      <c r="AR132" s="6">
        <f t="shared" si="146"/>
        <v>2.8571428571428572</v>
      </c>
      <c r="AS132" s="6">
        <f t="shared" si="230"/>
        <v>1.3197221929886103</v>
      </c>
      <c r="AT132" s="6">
        <f t="shared" si="231"/>
        <v>1.5374206641542469</v>
      </c>
      <c r="AU132" s="179">
        <f t="shared" si="232"/>
        <v>0.46190276754601356</v>
      </c>
      <c r="AW132" s="6">
        <f t="shared" si="199"/>
        <v>5.8067776491498861</v>
      </c>
      <c r="AX132" s="6">
        <f t="shared" si="200"/>
        <v>4.399073976628701</v>
      </c>
      <c r="AY132" s="6">
        <f t="shared" si="201"/>
        <v>0.130490951432845</v>
      </c>
      <c r="AZ132" s="6"/>
      <c r="BA132" s="179">
        <f t="shared" si="202"/>
        <v>0.20713675398647127</v>
      </c>
      <c r="BB132" s="179">
        <f t="shared" si="203"/>
        <v>0.67070804850660071</v>
      </c>
      <c r="BC132" s="179">
        <f t="shared" si="204"/>
        <v>0.32585232689945687</v>
      </c>
      <c r="BD132" s="179"/>
      <c r="BE132" s="546">
        <f t="shared" si="205"/>
        <v>1.5016972198218171E-2</v>
      </c>
      <c r="BF132" s="546">
        <f t="shared" si="206"/>
        <v>3.8661261643601327E-2</v>
      </c>
      <c r="BG132" s="546">
        <f t="shared" si="207"/>
        <v>4.3749999999999995E-3</v>
      </c>
      <c r="BH132" s="546">
        <f t="shared" si="208"/>
        <v>1.3622175E-2</v>
      </c>
      <c r="BI132">
        <f t="shared" si="209"/>
        <v>3.48E-3</v>
      </c>
      <c r="BK132" s="472">
        <f t="shared" si="210"/>
        <v>75.155408841819494</v>
      </c>
      <c r="BL132" s="179">
        <f t="shared" si="211"/>
        <v>8.8000000000000009E-2</v>
      </c>
      <c r="BM132" s="179">
        <f t="shared" si="212"/>
        <v>4.4000000000000004E-2</v>
      </c>
      <c r="BN132" s="546"/>
      <c r="BP132" s="472">
        <f t="shared" si="213"/>
        <v>132</v>
      </c>
      <c r="BQ132" s="546">
        <f t="shared" si="214"/>
        <v>8.5811269704103837E-3</v>
      </c>
      <c r="BR132" s="546">
        <f t="shared" si="215"/>
        <v>1.7993971453261308E-2</v>
      </c>
      <c r="BS132" s="546">
        <f t="shared" si="216"/>
        <v>1.0617973894579051E-2</v>
      </c>
      <c r="BT132" s="546">
        <f t="shared" si="217"/>
        <v>2.3200449197953724E-2</v>
      </c>
      <c r="BU132" s="546"/>
      <c r="BV132" s="655">
        <f t="shared" si="218"/>
        <v>9.7533333333333326E-3</v>
      </c>
      <c r="BW132" s="472">
        <f t="shared" si="219"/>
        <v>70.146854849537803</v>
      </c>
      <c r="BX132" s="179">
        <f t="shared" si="220"/>
        <v>0.27730226369135735</v>
      </c>
      <c r="BY132" s="6">
        <f t="shared" si="221"/>
        <v>1.4630000000000001</v>
      </c>
      <c r="BZ132" s="179">
        <f t="shared" si="222"/>
        <v>0.84065856289632634</v>
      </c>
      <c r="CA132" s="6">
        <f t="shared" si="223"/>
        <v>84.065856289632634</v>
      </c>
      <c r="CB132">
        <f t="shared" si="224"/>
        <v>22</v>
      </c>
      <c r="CD132" s="581">
        <f t="shared" si="225"/>
        <v>-50</v>
      </c>
      <c r="CE132">
        <f t="shared" si="226"/>
        <v>-50</v>
      </c>
    </row>
    <row r="133" spans="5:83" x14ac:dyDescent="0.2">
      <c r="E133" s="176">
        <v>23</v>
      </c>
      <c r="F133" s="223">
        <f t="shared" si="227"/>
        <v>0.23</v>
      </c>
      <c r="G133" s="223">
        <f t="shared" si="168"/>
        <v>0.115</v>
      </c>
      <c r="H133" s="223">
        <f t="shared" si="169"/>
        <v>1.1500000000000001</v>
      </c>
      <c r="I133" s="223">
        <f t="shared" si="170"/>
        <v>0.3795</v>
      </c>
      <c r="J133" s="559">
        <f t="shared" si="171"/>
        <v>12</v>
      </c>
      <c r="K133" s="454">
        <f t="shared" si="172"/>
        <v>15.899999999999999</v>
      </c>
      <c r="L133" s="454">
        <f t="shared" si="173"/>
        <v>27.9</v>
      </c>
      <c r="M133" s="454"/>
      <c r="N133" s="223">
        <f t="shared" si="174"/>
        <v>0.56989247311827951</v>
      </c>
      <c r="O133" s="178">
        <f t="shared" si="228"/>
        <v>3.4707737084647103</v>
      </c>
      <c r="P133" s="178">
        <f t="shared" si="229"/>
        <v>1.5233225806451611</v>
      </c>
      <c r="Q133" s="223">
        <f t="shared" si="175"/>
        <v>0.69415474169294211</v>
      </c>
      <c r="R133" s="223">
        <f t="shared" si="176"/>
        <v>1.0517496086256699</v>
      </c>
      <c r="S133" s="223">
        <f t="shared" si="177"/>
        <v>5</v>
      </c>
      <c r="T133" s="223">
        <f t="shared" si="178"/>
        <v>0.49700733752620552</v>
      </c>
      <c r="U133" s="223">
        <f t="shared" si="179"/>
        <v>1.2425183438155138</v>
      </c>
      <c r="V133" s="223">
        <f t="shared" si="180"/>
        <v>0.93774969344567094</v>
      </c>
      <c r="W133" s="203">
        <f t="shared" si="181"/>
        <v>350</v>
      </c>
      <c r="X133" s="454">
        <f t="shared" si="182"/>
        <v>350</v>
      </c>
      <c r="Z133" s="223">
        <f t="shared" si="183"/>
        <v>0.65130568356374818</v>
      </c>
      <c r="AA133" s="179">
        <f t="shared" si="184"/>
        <v>1.2288786482334872</v>
      </c>
      <c r="AB133" s="179">
        <f t="shared" si="185"/>
        <v>0.31593775579129196</v>
      </c>
      <c r="AC133" s="179"/>
      <c r="AD133" s="179">
        <f t="shared" si="186"/>
        <v>0.5660377358490567</v>
      </c>
      <c r="AE133" s="563">
        <f t="shared" si="187"/>
        <v>902.96296296296282</v>
      </c>
      <c r="AF133" s="546">
        <f t="shared" si="188"/>
        <v>8.9150943396226423E-2</v>
      </c>
      <c r="AH133" s="179">
        <f t="shared" si="189"/>
        <v>0.53975302994363383</v>
      </c>
      <c r="AI133" s="179">
        <f t="shared" si="190"/>
        <v>0.53975302994363383</v>
      </c>
      <c r="AJ133" s="179">
        <f t="shared" si="191"/>
        <v>1.3775948369952844</v>
      </c>
      <c r="AL133" s="563">
        <f t="shared" si="192"/>
        <v>230</v>
      </c>
      <c r="AM133" s="472">
        <f t="shared" si="193"/>
        <v>350</v>
      </c>
      <c r="AO133" s="472">
        <f t="shared" si="194"/>
        <v>230</v>
      </c>
      <c r="AP133" s="472">
        <f t="shared" si="195"/>
        <v>350</v>
      </c>
      <c r="AR133" s="6">
        <f t="shared" si="146"/>
        <v>2.8571428571428572</v>
      </c>
      <c r="AS133" s="6">
        <f t="shared" si="230"/>
        <v>1.3493825748590846</v>
      </c>
      <c r="AT133" s="6">
        <f t="shared" si="231"/>
        <v>1.5077602822837726</v>
      </c>
      <c r="AU133" s="179">
        <f t="shared" si="232"/>
        <v>0.47228390120067959</v>
      </c>
      <c r="AW133" s="6">
        <f t="shared" si="199"/>
        <v>6.2071598443517892</v>
      </c>
      <c r="AX133" s="6">
        <f t="shared" si="200"/>
        <v>4.7023938214786281</v>
      </c>
      <c r="AY133" s="6">
        <f t="shared" si="201"/>
        <v>0.13379045714709403</v>
      </c>
      <c r="AZ133" s="6"/>
      <c r="BA133" s="179">
        <f t="shared" si="202"/>
        <v>0.21415885320361661</v>
      </c>
      <c r="BB133" s="179">
        <f t="shared" si="203"/>
        <v>0.67913464817413483</v>
      </c>
      <c r="BC133" s="179">
        <f t="shared" si="204"/>
        <v>0.32994624990460053</v>
      </c>
      <c r="BD133" s="179"/>
      <c r="BE133" s="546">
        <f t="shared" si="205"/>
        <v>1.6052405041920872E-2</v>
      </c>
      <c r="BF133" s="546">
        <f t="shared" si="206"/>
        <v>3.9530162530496876E-2</v>
      </c>
      <c r="BG133" s="546">
        <f t="shared" si="207"/>
        <v>4.3749999999999995E-3</v>
      </c>
      <c r="BH133" s="546">
        <f t="shared" si="208"/>
        <v>1.3622175E-2</v>
      </c>
      <c r="BI133">
        <f t="shared" si="209"/>
        <v>3.48E-3</v>
      </c>
      <c r="BK133" s="472">
        <f t="shared" si="210"/>
        <v>77.059742572417747</v>
      </c>
      <c r="BL133" s="179">
        <f t="shared" si="211"/>
        <v>9.2000000000000012E-2</v>
      </c>
      <c r="BM133" s="179">
        <f t="shared" si="212"/>
        <v>4.6000000000000006E-2</v>
      </c>
      <c r="BN133" s="546"/>
      <c r="BP133" s="472">
        <f t="shared" si="213"/>
        <v>138</v>
      </c>
      <c r="BQ133" s="546">
        <f t="shared" si="214"/>
        <v>9.1728028810976418E-3</v>
      </c>
      <c r="BR133" s="546">
        <f t="shared" si="215"/>
        <v>1.8448954814024237E-2</v>
      </c>
      <c r="BS133" s="546">
        <f t="shared" si="216"/>
        <v>1.0886452782610911E-2</v>
      </c>
      <c r="BT133" s="546">
        <f t="shared" si="217"/>
        <v>2.4526062893066192E-2</v>
      </c>
      <c r="BU133" s="546"/>
      <c r="BV133" s="655">
        <f t="shared" si="218"/>
        <v>1.0196666666666665E-2</v>
      </c>
      <c r="BW133" s="472">
        <f t="shared" si="219"/>
        <v>73.230940037465629</v>
      </c>
      <c r="BX133" s="179">
        <f t="shared" si="220"/>
        <v>0.28829068260988344</v>
      </c>
      <c r="BY133" s="6">
        <f t="shared" si="221"/>
        <v>1.5295000000000001</v>
      </c>
      <c r="BZ133" s="179">
        <f t="shared" si="222"/>
        <v>0.84140600710089919</v>
      </c>
      <c r="CA133" s="6">
        <f t="shared" si="223"/>
        <v>84.140600710089913</v>
      </c>
      <c r="CB133">
        <f t="shared" si="224"/>
        <v>23</v>
      </c>
      <c r="CD133" s="581">
        <f t="shared" si="225"/>
        <v>-50</v>
      </c>
      <c r="CE133">
        <f t="shared" si="226"/>
        <v>-50</v>
      </c>
    </row>
    <row r="134" spans="5:83" x14ac:dyDescent="0.2">
      <c r="E134" s="176">
        <v>24</v>
      </c>
      <c r="F134" s="223">
        <f t="shared" si="227"/>
        <v>0.24</v>
      </c>
      <c r="G134" s="223">
        <f t="shared" si="168"/>
        <v>0.12</v>
      </c>
      <c r="H134" s="223">
        <f t="shared" si="169"/>
        <v>1.2</v>
      </c>
      <c r="I134" s="223">
        <f t="shared" si="170"/>
        <v>0.39599999999999996</v>
      </c>
      <c r="J134" s="559">
        <f t="shared" si="171"/>
        <v>12</v>
      </c>
      <c r="K134" s="454">
        <f t="shared" si="172"/>
        <v>15.899999999999999</v>
      </c>
      <c r="L134" s="454">
        <f t="shared" si="173"/>
        <v>27.9</v>
      </c>
      <c r="M134" s="454"/>
      <c r="N134" s="223">
        <f t="shared" si="174"/>
        <v>0.56989247311827951</v>
      </c>
      <c r="O134" s="178">
        <f t="shared" si="228"/>
        <v>3.4707737084647103</v>
      </c>
      <c r="P134" s="178">
        <f t="shared" si="229"/>
        <v>1.5233225806451611</v>
      </c>
      <c r="Q134" s="223">
        <f t="shared" si="175"/>
        <v>0.69415474169294211</v>
      </c>
      <c r="R134" s="223">
        <f t="shared" si="176"/>
        <v>1.0517496086256699</v>
      </c>
      <c r="S134" s="223">
        <f t="shared" si="177"/>
        <v>5</v>
      </c>
      <c r="T134" s="223">
        <f t="shared" si="178"/>
        <v>0.5186163522012579</v>
      </c>
      <c r="U134" s="223">
        <f t="shared" si="179"/>
        <v>1.2965408805031449</v>
      </c>
      <c r="V134" s="223">
        <f t="shared" si="180"/>
        <v>0.97852141924765668</v>
      </c>
      <c r="W134" s="203">
        <f t="shared" si="181"/>
        <v>350</v>
      </c>
      <c r="X134" s="454">
        <f t="shared" si="182"/>
        <v>350</v>
      </c>
      <c r="Z134" s="223">
        <f t="shared" si="183"/>
        <v>0.65130568356374818</v>
      </c>
      <c r="AA134" s="179">
        <f t="shared" si="184"/>
        <v>1.2288786482334872</v>
      </c>
      <c r="AB134" s="179">
        <f t="shared" si="185"/>
        <v>0.31593775579129196</v>
      </c>
      <c r="AC134" s="179"/>
      <c r="AD134" s="179">
        <f t="shared" si="186"/>
        <v>0.5660377358490567</v>
      </c>
      <c r="AE134" s="563">
        <f t="shared" si="187"/>
        <v>942.22222222222206</v>
      </c>
      <c r="AF134" s="546">
        <f t="shared" si="188"/>
        <v>8.9150943396226423E-2</v>
      </c>
      <c r="AH134" s="179">
        <f t="shared" si="189"/>
        <v>0.55136195008360889</v>
      </c>
      <c r="AI134" s="179">
        <f t="shared" si="190"/>
        <v>0.55136195008360889</v>
      </c>
      <c r="AJ134" s="179">
        <f t="shared" si="191"/>
        <v>1.3861940370989694</v>
      </c>
      <c r="AL134" s="563">
        <f t="shared" si="192"/>
        <v>240</v>
      </c>
      <c r="AM134" s="472">
        <f t="shared" si="193"/>
        <v>350</v>
      </c>
      <c r="AO134" s="472">
        <f t="shared" si="194"/>
        <v>240</v>
      </c>
      <c r="AP134" s="472">
        <f t="shared" si="195"/>
        <v>350</v>
      </c>
      <c r="AR134" s="6">
        <f t="shared" ref="AR134:AR197" si="233">1/AM134*1000</f>
        <v>2.8571428571428572</v>
      </c>
      <c r="AS134" s="6">
        <f t="shared" si="230"/>
        <v>1.3784048752090223</v>
      </c>
      <c r="AT134" s="6">
        <f t="shared" si="231"/>
        <v>1.4787379819338349</v>
      </c>
      <c r="AU134" s="179">
        <f t="shared" si="232"/>
        <v>0.4824417063231578</v>
      </c>
      <c r="AW134" s="6">
        <f t="shared" si="199"/>
        <v>6.6163434010033075</v>
      </c>
      <c r="AX134" s="6">
        <f t="shared" si="200"/>
        <v>5.012381364396445</v>
      </c>
      <c r="AY134" s="6">
        <f t="shared" si="201"/>
        <v>0.1369201835123921</v>
      </c>
      <c r="AZ134" s="6"/>
      <c r="BA134" s="179">
        <f t="shared" si="202"/>
        <v>0.22110501179472766</v>
      </c>
      <c r="BB134" s="179">
        <f t="shared" si="203"/>
        <v>0.6870321417759726</v>
      </c>
      <c r="BC134" s="179">
        <f t="shared" si="204"/>
        <v>0.33378311554616003</v>
      </c>
      <c r="BD134" s="179"/>
      <c r="BE134" s="546">
        <f t="shared" si="205"/>
        <v>1.7110599184261329E-2</v>
      </c>
      <c r="BF134" s="546">
        <f t="shared" si="206"/>
        <v>4.03803708192483E-2</v>
      </c>
      <c r="BG134" s="546">
        <f t="shared" si="207"/>
        <v>4.3749999999999995E-3</v>
      </c>
      <c r="BH134" s="546">
        <f t="shared" si="208"/>
        <v>1.3622175E-2</v>
      </c>
      <c r="BI134">
        <f t="shared" si="209"/>
        <v>3.48E-3</v>
      </c>
      <c r="BK134" s="472">
        <f t="shared" si="210"/>
        <v>78.968145003509619</v>
      </c>
      <c r="BL134" s="179">
        <f t="shared" si="211"/>
        <v>9.6000000000000002E-2</v>
      </c>
      <c r="BM134" s="179">
        <f t="shared" si="212"/>
        <v>4.8000000000000001E-2</v>
      </c>
      <c r="BN134" s="546"/>
      <c r="BP134" s="472">
        <f t="shared" si="213"/>
        <v>144.00000000000003</v>
      </c>
      <c r="BQ134" s="546">
        <f t="shared" si="214"/>
        <v>9.7774852481493316E-3</v>
      </c>
      <c r="BR134" s="546">
        <f t="shared" si="215"/>
        <v>1.8880526553331205E-2</v>
      </c>
      <c r="BS134" s="546">
        <f t="shared" si="216"/>
        <v>1.1141116822370123E-2</v>
      </c>
      <c r="BT134" s="546">
        <f t="shared" si="217"/>
        <v>2.5866168044435662E-2</v>
      </c>
      <c r="BU134" s="546"/>
      <c r="BV134" s="655">
        <f t="shared" si="218"/>
        <v>1.064E-2</v>
      </c>
      <c r="BW134" s="472">
        <f t="shared" si="219"/>
        <v>76.305296668286317</v>
      </c>
      <c r="BX134" s="179">
        <f t="shared" si="220"/>
        <v>0.29927344167179587</v>
      </c>
      <c r="BY134" s="6">
        <f t="shared" si="221"/>
        <v>1.5959999999999999</v>
      </c>
      <c r="BZ134" s="179">
        <f t="shared" si="222"/>
        <v>0.84209484758684172</v>
      </c>
      <c r="CA134" s="6">
        <f t="shared" si="223"/>
        <v>84.209484758684169</v>
      </c>
      <c r="CB134">
        <f t="shared" si="224"/>
        <v>24</v>
      </c>
      <c r="CD134" s="581">
        <f t="shared" si="225"/>
        <v>-50</v>
      </c>
      <c r="CE134">
        <f t="shared" si="226"/>
        <v>-50</v>
      </c>
    </row>
    <row r="135" spans="5:83" x14ac:dyDescent="0.2">
      <c r="E135" s="176">
        <v>25</v>
      </c>
      <c r="F135" s="223">
        <f t="shared" si="227"/>
        <v>0.25</v>
      </c>
      <c r="G135" s="223">
        <f t="shared" si="168"/>
        <v>0.125</v>
      </c>
      <c r="H135" s="223">
        <f t="shared" si="169"/>
        <v>1.25</v>
      </c>
      <c r="I135" s="223">
        <f t="shared" si="170"/>
        <v>0.41249999999999998</v>
      </c>
      <c r="J135" s="559">
        <f t="shared" si="171"/>
        <v>12</v>
      </c>
      <c r="K135" s="454">
        <f t="shared" si="172"/>
        <v>15.899999999999999</v>
      </c>
      <c r="L135" s="454">
        <f t="shared" si="173"/>
        <v>27.9</v>
      </c>
      <c r="M135" s="454"/>
      <c r="N135" s="223">
        <f t="shared" si="174"/>
        <v>0.56989247311827951</v>
      </c>
      <c r="O135" s="178">
        <f t="shared" si="228"/>
        <v>3.4707737084647103</v>
      </c>
      <c r="P135" s="178">
        <f t="shared" si="229"/>
        <v>1.5233225806451611</v>
      </c>
      <c r="Q135" s="223">
        <f t="shared" si="175"/>
        <v>0.69415474169294211</v>
      </c>
      <c r="R135" s="223">
        <f t="shared" si="176"/>
        <v>1.0517496086256699</v>
      </c>
      <c r="S135" s="223">
        <f t="shared" si="177"/>
        <v>5</v>
      </c>
      <c r="T135" s="223">
        <f t="shared" si="178"/>
        <v>0.5402253668763104</v>
      </c>
      <c r="U135" s="223">
        <f t="shared" si="179"/>
        <v>1.3505634171907761</v>
      </c>
      <c r="V135" s="223">
        <f t="shared" si="180"/>
        <v>1.0192931450496425</v>
      </c>
      <c r="W135" s="203">
        <f t="shared" si="181"/>
        <v>350</v>
      </c>
      <c r="X135" s="454">
        <f t="shared" si="182"/>
        <v>350</v>
      </c>
      <c r="Z135" s="223">
        <f t="shared" si="183"/>
        <v>0.65130568356374818</v>
      </c>
      <c r="AA135" s="179">
        <f t="shared" si="184"/>
        <v>1.2288786482334872</v>
      </c>
      <c r="AB135" s="179">
        <f t="shared" si="185"/>
        <v>0.31593775579129196</v>
      </c>
      <c r="AC135" s="179"/>
      <c r="AD135" s="179">
        <f t="shared" si="186"/>
        <v>0.5660377358490567</v>
      </c>
      <c r="AE135" s="563">
        <f t="shared" si="187"/>
        <v>981.48148148148141</v>
      </c>
      <c r="AF135" s="546">
        <f t="shared" si="188"/>
        <v>8.9150943396226423E-2</v>
      </c>
      <c r="AH135" s="179">
        <f t="shared" si="189"/>
        <v>0.56273143387113778</v>
      </c>
      <c r="AI135" s="179">
        <f t="shared" si="190"/>
        <v>0.56273143387113778</v>
      </c>
      <c r="AJ135" s="179">
        <f t="shared" si="191"/>
        <v>1.3946158769415835</v>
      </c>
      <c r="AL135" s="563">
        <f t="shared" si="192"/>
        <v>250</v>
      </c>
      <c r="AM135" s="472">
        <f t="shared" si="193"/>
        <v>350</v>
      </c>
      <c r="AO135" s="472">
        <f t="shared" si="194"/>
        <v>250</v>
      </c>
      <c r="AP135" s="472">
        <f t="shared" si="195"/>
        <v>350</v>
      </c>
      <c r="AR135" s="6">
        <f t="shared" si="233"/>
        <v>2.8571428571428572</v>
      </c>
      <c r="AS135" s="6">
        <f t="shared" si="230"/>
        <v>1.4068285846778443</v>
      </c>
      <c r="AT135" s="6">
        <f t="shared" si="231"/>
        <v>1.4503142724650129</v>
      </c>
      <c r="AU135" s="179">
        <f t="shared" si="232"/>
        <v>0.49239000463724553</v>
      </c>
      <c r="AW135" s="6">
        <f t="shared" si="199"/>
        <v>7.0341429233892221</v>
      </c>
      <c r="AX135" s="6">
        <f t="shared" si="200"/>
        <v>5.3288961540827433</v>
      </c>
      <c r="AY135" s="6">
        <f t="shared" si="201"/>
        <v>0.1398837068349742</v>
      </c>
      <c r="AZ135" s="6"/>
      <c r="BA135" s="179">
        <f t="shared" si="202"/>
        <v>0.22797916678829896</v>
      </c>
      <c r="BB135" s="179">
        <f t="shared" si="203"/>
        <v>0.69442745884261858</v>
      </c>
      <c r="BC135" s="179">
        <f t="shared" si="204"/>
        <v>0.33737600708770554</v>
      </c>
      <c r="BD135" s="179"/>
      <c r="BE135" s="546">
        <f t="shared" si="205"/>
        <v>1.8191075171320462E-2</v>
      </c>
      <c r="BF135" s="546">
        <f t="shared" si="206"/>
        <v>4.1213043388137444E-2</v>
      </c>
      <c r="BG135" s="546">
        <f t="shared" si="207"/>
        <v>4.3749999999999995E-3</v>
      </c>
      <c r="BH135" s="546">
        <f t="shared" si="208"/>
        <v>1.3622175E-2</v>
      </c>
      <c r="BI135">
        <f t="shared" si="209"/>
        <v>3.48E-3</v>
      </c>
      <c r="BK135" s="472">
        <f t="shared" si="210"/>
        <v>80.881293559457902</v>
      </c>
      <c r="BL135" s="179">
        <f t="shared" si="211"/>
        <v>0.1</v>
      </c>
      <c r="BM135" s="179">
        <f t="shared" si="212"/>
        <v>0.05</v>
      </c>
      <c r="BN135" s="546"/>
      <c r="BP135" s="472">
        <f t="shared" si="213"/>
        <v>150.00000000000003</v>
      </c>
      <c r="BQ135" s="546">
        <f t="shared" si="214"/>
        <v>1.0394900097897409E-2</v>
      </c>
      <c r="BR135" s="546">
        <f t="shared" si="215"/>
        <v>1.9289179823784669E-2</v>
      </c>
      <c r="BS135" s="546">
        <f t="shared" si="216"/>
        <v>1.1382257015844353E-2</v>
      </c>
      <c r="BT135" s="546">
        <f t="shared" si="217"/>
        <v>2.7220309156433992E-2</v>
      </c>
      <c r="BU135" s="546"/>
      <c r="BV135" s="655">
        <f t="shared" si="218"/>
        <v>1.1083333333333334E-2</v>
      </c>
      <c r="BW135" s="472">
        <f t="shared" si="219"/>
        <v>79.369979427293757</v>
      </c>
      <c r="BX135" s="179">
        <f t="shared" si="220"/>
        <v>0.31025127298675159</v>
      </c>
      <c r="BY135" s="6">
        <f t="shared" si="221"/>
        <v>1.6625000000000001</v>
      </c>
      <c r="BZ135" s="179">
        <f t="shared" si="222"/>
        <v>0.84273168278480937</v>
      </c>
      <c r="CA135" s="6">
        <f t="shared" si="223"/>
        <v>84.273168278480938</v>
      </c>
      <c r="CB135">
        <f t="shared" si="224"/>
        <v>25</v>
      </c>
      <c r="CD135" s="581">
        <f t="shared" si="225"/>
        <v>-50</v>
      </c>
      <c r="CE135">
        <f t="shared" si="226"/>
        <v>-50</v>
      </c>
    </row>
    <row r="136" spans="5:83" x14ac:dyDescent="0.2">
      <c r="E136" s="176">
        <v>26</v>
      </c>
      <c r="F136" s="223">
        <f t="shared" si="227"/>
        <v>0.26</v>
      </c>
      <c r="G136" s="223">
        <f t="shared" si="168"/>
        <v>0.13</v>
      </c>
      <c r="H136" s="223">
        <f t="shared" si="169"/>
        <v>1.3</v>
      </c>
      <c r="I136" s="223">
        <f t="shared" si="170"/>
        <v>0.42899999999999999</v>
      </c>
      <c r="J136" s="559">
        <f t="shared" si="171"/>
        <v>12</v>
      </c>
      <c r="K136" s="454">
        <f t="shared" si="172"/>
        <v>15.899999999999999</v>
      </c>
      <c r="L136" s="454">
        <f t="shared" si="173"/>
        <v>27.9</v>
      </c>
      <c r="M136" s="454"/>
      <c r="N136" s="223">
        <f t="shared" si="174"/>
        <v>0.56989247311827951</v>
      </c>
      <c r="O136" s="178">
        <f t="shared" si="228"/>
        <v>3.4707737084647103</v>
      </c>
      <c r="P136" s="178">
        <f t="shared" si="229"/>
        <v>1.5233225806451611</v>
      </c>
      <c r="Q136" s="223">
        <f t="shared" si="175"/>
        <v>0.69415474169294211</v>
      </c>
      <c r="R136" s="223">
        <f t="shared" si="176"/>
        <v>1.0517496086256699</v>
      </c>
      <c r="S136" s="223">
        <f t="shared" si="177"/>
        <v>5</v>
      </c>
      <c r="T136" s="223">
        <f t="shared" si="178"/>
        <v>0.56183438155136278</v>
      </c>
      <c r="U136" s="223">
        <f t="shared" si="179"/>
        <v>1.4045859538784071</v>
      </c>
      <c r="V136" s="223">
        <f t="shared" si="180"/>
        <v>1.060064870851628</v>
      </c>
      <c r="W136" s="203">
        <f t="shared" si="181"/>
        <v>350</v>
      </c>
      <c r="X136" s="454">
        <f t="shared" si="182"/>
        <v>350</v>
      </c>
      <c r="Z136" s="223">
        <f t="shared" si="183"/>
        <v>0.65130568356374818</v>
      </c>
      <c r="AA136" s="179">
        <f t="shared" si="184"/>
        <v>1.2288786482334872</v>
      </c>
      <c r="AB136" s="179">
        <f t="shared" si="185"/>
        <v>0.31593775579129196</v>
      </c>
      <c r="AC136" s="179"/>
      <c r="AD136" s="179">
        <f t="shared" si="186"/>
        <v>0.5660377358490567</v>
      </c>
      <c r="AE136" s="563">
        <f t="shared" si="187"/>
        <v>1020.7407407407405</v>
      </c>
      <c r="AF136" s="546">
        <f t="shared" si="188"/>
        <v>8.9150943396226423E-2</v>
      </c>
      <c r="AH136" s="179">
        <f t="shared" si="189"/>
        <v>0.57387571244419588</v>
      </c>
      <c r="AI136" s="179">
        <f t="shared" si="190"/>
        <v>0.57387571244419588</v>
      </c>
      <c r="AJ136" s="179">
        <f t="shared" si="191"/>
        <v>1.4028708981068116</v>
      </c>
      <c r="AL136" s="563">
        <f t="shared" si="192"/>
        <v>260</v>
      </c>
      <c r="AM136" s="472">
        <f t="shared" si="193"/>
        <v>350</v>
      </c>
      <c r="AO136" s="472">
        <f t="shared" si="194"/>
        <v>260</v>
      </c>
      <c r="AP136" s="472">
        <f t="shared" si="195"/>
        <v>350</v>
      </c>
      <c r="AR136" s="6">
        <f t="shared" si="233"/>
        <v>2.8571428571428572</v>
      </c>
      <c r="AS136" s="6">
        <f t="shared" si="230"/>
        <v>1.4346892811104897</v>
      </c>
      <c r="AT136" s="6">
        <f t="shared" si="231"/>
        <v>1.4224535760323676</v>
      </c>
      <c r="AU136" s="179">
        <f t="shared" si="232"/>
        <v>0.50214124838867136</v>
      </c>
      <c r="AW136" s="6">
        <f t="shared" si="199"/>
        <v>7.4603842617745464</v>
      </c>
      <c r="AX136" s="6">
        <f t="shared" si="200"/>
        <v>5.6518062589201108</v>
      </c>
      <c r="AY136" s="6">
        <f t="shared" si="201"/>
        <v>0.1426843864847282</v>
      </c>
      <c r="AZ136" s="6"/>
      <c r="BA136" s="179">
        <f t="shared" si="202"/>
        <v>0.234784902365266</v>
      </c>
      <c r="BB136" s="179">
        <f t="shared" si="203"/>
        <v>0.70134474161569993</v>
      </c>
      <c r="BC136" s="179">
        <f t="shared" si="204"/>
        <v>0.34073665363496092</v>
      </c>
      <c r="BD136" s="179"/>
      <c r="BE136" s="546">
        <f t="shared" si="205"/>
        <v>1.9293382632533621E-2</v>
      </c>
      <c r="BF136" s="546">
        <f t="shared" si="206"/>
        <v>4.2029222490131787E-2</v>
      </c>
      <c r="BG136" s="546">
        <f t="shared" si="207"/>
        <v>4.3749999999999995E-3</v>
      </c>
      <c r="BH136" s="546">
        <f t="shared" si="208"/>
        <v>1.3622175E-2</v>
      </c>
      <c r="BI136">
        <f t="shared" si="209"/>
        <v>3.48E-3</v>
      </c>
      <c r="BK136" s="472">
        <f t="shared" si="210"/>
        <v>82.79978012266541</v>
      </c>
      <c r="BL136" s="179">
        <f t="shared" si="211"/>
        <v>0.10400000000000001</v>
      </c>
      <c r="BM136" s="179">
        <f t="shared" si="212"/>
        <v>5.2000000000000005E-2</v>
      </c>
      <c r="BN136" s="546"/>
      <c r="BP136" s="472">
        <f t="shared" si="213"/>
        <v>156.00000000000003</v>
      </c>
      <c r="BQ136" s="546">
        <f t="shared" si="214"/>
        <v>1.1024790075733499E-2</v>
      </c>
      <c r="BR136" s="546">
        <f t="shared" si="215"/>
        <v>1.9675377863679715E-2</v>
      </c>
      <c r="BS136" s="546">
        <f t="shared" si="216"/>
        <v>1.1610146713035133E-2</v>
      </c>
      <c r="BT136" s="546">
        <f t="shared" si="217"/>
        <v>2.8588062806098598E-2</v>
      </c>
      <c r="BU136" s="546"/>
      <c r="BV136" s="655">
        <f t="shared" si="218"/>
        <v>1.1526666666666671E-2</v>
      </c>
      <c r="BW136" s="472">
        <f t="shared" si="219"/>
        <v>82.425044125213617</v>
      </c>
      <c r="BX136" s="179">
        <f t="shared" si="220"/>
        <v>0.32122482424787902</v>
      </c>
      <c r="BY136" s="6">
        <f t="shared" si="221"/>
        <v>1.7290000000000001</v>
      </c>
      <c r="BZ136" s="179">
        <f t="shared" si="222"/>
        <v>0.84332214669885308</v>
      </c>
      <c r="CA136" s="6">
        <f t="shared" si="223"/>
        <v>84.332214669885303</v>
      </c>
      <c r="CB136">
        <f t="shared" si="224"/>
        <v>26</v>
      </c>
      <c r="CD136" s="581">
        <f t="shared" si="225"/>
        <v>-50</v>
      </c>
      <c r="CE136">
        <f t="shared" si="226"/>
        <v>-50</v>
      </c>
    </row>
    <row r="137" spans="5:83" x14ac:dyDescent="0.2">
      <c r="E137" s="176">
        <v>27</v>
      </c>
      <c r="F137" s="223">
        <f t="shared" si="227"/>
        <v>0.27</v>
      </c>
      <c r="G137" s="223">
        <f t="shared" si="168"/>
        <v>0.13500000000000001</v>
      </c>
      <c r="H137" s="223">
        <f t="shared" si="169"/>
        <v>1.35</v>
      </c>
      <c r="I137" s="223">
        <f t="shared" si="170"/>
        <v>0.44550000000000001</v>
      </c>
      <c r="J137" s="559">
        <f t="shared" si="171"/>
        <v>12</v>
      </c>
      <c r="K137" s="454">
        <f t="shared" si="172"/>
        <v>15.899999999999999</v>
      </c>
      <c r="L137" s="454">
        <f t="shared" si="173"/>
        <v>27.9</v>
      </c>
      <c r="M137" s="454"/>
      <c r="N137" s="223">
        <f t="shared" si="174"/>
        <v>0.56989247311827951</v>
      </c>
      <c r="O137" s="178">
        <f t="shared" si="228"/>
        <v>3.4707737084647103</v>
      </c>
      <c r="P137" s="178">
        <f t="shared" si="229"/>
        <v>1.5233225806451611</v>
      </c>
      <c r="Q137" s="223">
        <f t="shared" si="175"/>
        <v>0.69415474169294211</v>
      </c>
      <c r="R137" s="223">
        <f t="shared" si="176"/>
        <v>1.0517496086256699</v>
      </c>
      <c r="S137" s="223">
        <f t="shared" si="177"/>
        <v>5</v>
      </c>
      <c r="T137" s="223">
        <f t="shared" si="178"/>
        <v>0.58344339622641517</v>
      </c>
      <c r="U137" s="223">
        <f t="shared" si="179"/>
        <v>1.4586084905660379</v>
      </c>
      <c r="V137" s="223">
        <f t="shared" si="180"/>
        <v>1.1008365966536138</v>
      </c>
      <c r="W137" s="203">
        <f t="shared" si="181"/>
        <v>350</v>
      </c>
      <c r="X137" s="454">
        <f t="shared" si="182"/>
        <v>350</v>
      </c>
      <c r="Z137" s="223">
        <f t="shared" si="183"/>
        <v>0.65130568356374818</v>
      </c>
      <c r="AA137" s="179">
        <f t="shared" si="184"/>
        <v>1.2288786482334872</v>
      </c>
      <c r="AB137" s="179">
        <f t="shared" si="185"/>
        <v>0.31593775579129196</v>
      </c>
      <c r="AC137" s="179"/>
      <c r="AD137" s="179">
        <f t="shared" si="186"/>
        <v>0.5660377358490567</v>
      </c>
      <c r="AE137" s="563">
        <f t="shared" si="187"/>
        <v>1059.9999999999998</v>
      </c>
      <c r="AF137" s="546">
        <f t="shared" si="188"/>
        <v>8.9150943396226423E-2</v>
      </c>
      <c r="AH137" s="179">
        <f t="shared" si="189"/>
        <v>0.58480766068853784</v>
      </c>
      <c r="AI137" s="179">
        <f t="shared" si="190"/>
        <v>0.58480766068853784</v>
      </c>
      <c r="AJ137" s="179">
        <f t="shared" si="191"/>
        <v>1.4109686375470649</v>
      </c>
      <c r="AL137" s="563">
        <f t="shared" si="192"/>
        <v>270</v>
      </c>
      <c r="AM137" s="472">
        <f t="shared" si="193"/>
        <v>350</v>
      </c>
      <c r="AO137" s="472">
        <f t="shared" si="194"/>
        <v>270</v>
      </c>
      <c r="AP137" s="472">
        <f t="shared" si="195"/>
        <v>350</v>
      </c>
      <c r="AR137" s="6">
        <f t="shared" si="233"/>
        <v>2.8571428571428572</v>
      </c>
      <c r="AS137" s="6">
        <f t="shared" si="230"/>
        <v>1.4620191517213446</v>
      </c>
      <c r="AT137" s="6">
        <f t="shared" si="231"/>
        <v>1.3951237054215126</v>
      </c>
      <c r="AU137" s="179">
        <f t="shared" si="232"/>
        <v>0.51170670310247057</v>
      </c>
      <c r="AW137" s="6">
        <f t="shared" si="199"/>
        <v>7.8949034192952618</v>
      </c>
      <c r="AX137" s="6">
        <f t="shared" si="200"/>
        <v>5.9809874388600468</v>
      </c>
      <c r="AY137" s="6">
        <f t="shared" si="201"/>
        <v>0.14532538598140754</v>
      </c>
      <c r="AZ137" s="6"/>
      <c r="BA137" s="179">
        <f t="shared" si="202"/>
        <v>0.24152549379657967</v>
      </c>
      <c r="BB137" s="179">
        <f t="shared" si="203"/>
        <v>0.70780570965263145</v>
      </c>
      <c r="BC137" s="179">
        <f t="shared" si="204"/>
        <v>0.34387560727290345</v>
      </c>
      <c r="BD137" s="179"/>
      <c r="BE137" s="546">
        <f t="shared" si="205"/>
        <v>2.0417097453788575E-2</v>
      </c>
      <c r="BF137" s="546">
        <f t="shared" si="206"/>
        <v>4.2829851049676786E-2</v>
      </c>
      <c r="BG137" s="546">
        <f t="shared" si="207"/>
        <v>4.3749999999999995E-3</v>
      </c>
      <c r="BH137" s="546">
        <f t="shared" si="208"/>
        <v>1.3622175E-2</v>
      </c>
      <c r="BI137">
        <f t="shared" si="209"/>
        <v>3.48E-3</v>
      </c>
      <c r="BK137" s="472">
        <f t="shared" si="210"/>
        <v>84.724123503465364</v>
      </c>
      <c r="BL137" s="179">
        <f t="shared" si="211"/>
        <v>0.10800000000000001</v>
      </c>
      <c r="BM137" s="179">
        <f t="shared" si="212"/>
        <v>5.4000000000000006E-2</v>
      </c>
      <c r="BN137" s="546"/>
      <c r="BP137" s="472">
        <f t="shared" si="213"/>
        <v>162.00000000000003</v>
      </c>
      <c r="BQ137" s="546">
        <f t="shared" si="214"/>
        <v>1.1666912830736328E-2</v>
      </c>
      <c r="BR137" s="546">
        <f t="shared" si="215"/>
        <v>2.003955690467461E-2</v>
      </c>
      <c r="BS137" s="546">
        <f t="shared" si="216"/>
        <v>1.1825043327730813E-2</v>
      </c>
      <c r="BT137" s="546">
        <f t="shared" si="217"/>
        <v>2.99690342306487E-2</v>
      </c>
      <c r="BU137" s="546"/>
      <c r="BV137" s="655">
        <f t="shared" si="218"/>
        <v>1.1970000000000001E-2</v>
      </c>
      <c r="BW137" s="472">
        <f t="shared" si="219"/>
        <v>85.470547293790474</v>
      </c>
      <c r="BX137" s="179">
        <f t="shared" si="220"/>
        <v>0.3321946707972559</v>
      </c>
      <c r="BY137" s="6">
        <f t="shared" si="221"/>
        <v>1.7955000000000001</v>
      </c>
      <c r="BZ137" s="179">
        <f t="shared" si="222"/>
        <v>0.84387108011471346</v>
      </c>
      <c r="CA137" s="6">
        <f t="shared" si="223"/>
        <v>84.387108011471341</v>
      </c>
      <c r="CB137">
        <f t="shared" si="224"/>
        <v>27</v>
      </c>
      <c r="CD137" s="581">
        <f t="shared" si="225"/>
        <v>-50</v>
      </c>
      <c r="CE137">
        <f t="shared" si="226"/>
        <v>-50</v>
      </c>
    </row>
    <row r="138" spans="5:83" x14ac:dyDescent="0.2">
      <c r="E138" s="176">
        <v>28</v>
      </c>
      <c r="F138" s="223">
        <f t="shared" si="227"/>
        <v>0.28000000000000003</v>
      </c>
      <c r="G138" s="223">
        <f t="shared" si="168"/>
        <v>0.14000000000000001</v>
      </c>
      <c r="H138" s="223">
        <f t="shared" si="169"/>
        <v>1.4000000000000001</v>
      </c>
      <c r="I138" s="223">
        <f t="shared" si="170"/>
        <v>0.46200000000000002</v>
      </c>
      <c r="J138" s="559">
        <f t="shared" si="171"/>
        <v>12</v>
      </c>
      <c r="K138" s="454">
        <f t="shared" si="172"/>
        <v>15.899999999999999</v>
      </c>
      <c r="L138" s="454">
        <f t="shared" si="173"/>
        <v>27.9</v>
      </c>
      <c r="M138" s="454"/>
      <c r="N138" s="223">
        <f t="shared" si="174"/>
        <v>0.56989247311827951</v>
      </c>
      <c r="O138" s="178">
        <f t="shared" si="228"/>
        <v>3.4707737084647103</v>
      </c>
      <c r="P138" s="178">
        <f t="shared" si="229"/>
        <v>1.5233225806451611</v>
      </c>
      <c r="Q138" s="223">
        <f t="shared" si="175"/>
        <v>0.69415474169294211</v>
      </c>
      <c r="R138" s="223">
        <f t="shared" si="176"/>
        <v>1.0517496086256699</v>
      </c>
      <c r="S138" s="223">
        <f t="shared" si="177"/>
        <v>5</v>
      </c>
      <c r="T138" s="223">
        <f t="shared" si="178"/>
        <v>0.60505241090146755</v>
      </c>
      <c r="U138" s="223">
        <f t="shared" si="179"/>
        <v>1.5126310272536689</v>
      </c>
      <c r="V138" s="223">
        <f t="shared" si="180"/>
        <v>1.1416083224555993</v>
      </c>
      <c r="W138" s="203">
        <f t="shared" si="181"/>
        <v>350</v>
      </c>
      <c r="X138" s="454">
        <f t="shared" si="182"/>
        <v>350</v>
      </c>
      <c r="Z138" s="223">
        <f t="shared" si="183"/>
        <v>0.65130568356374818</v>
      </c>
      <c r="AA138" s="179">
        <f t="shared" si="184"/>
        <v>1.2288786482334872</v>
      </c>
      <c r="AB138" s="179">
        <f t="shared" si="185"/>
        <v>0.31593775579129196</v>
      </c>
      <c r="AC138" s="179"/>
      <c r="AD138" s="179">
        <f t="shared" si="186"/>
        <v>0.5660377358490567</v>
      </c>
      <c r="AE138" s="563">
        <f t="shared" si="187"/>
        <v>1099.2592592592591</v>
      </c>
      <c r="AF138" s="546">
        <f t="shared" si="188"/>
        <v>8.9150943396226423E-2</v>
      </c>
      <c r="AH138" s="179">
        <f t="shared" si="189"/>
        <v>0.59553897157672786</v>
      </c>
      <c r="AI138" s="179">
        <f t="shared" si="190"/>
        <v>0.59553897157672786</v>
      </c>
      <c r="AJ138" s="179">
        <f t="shared" si="191"/>
        <v>1.4189177567235021</v>
      </c>
      <c r="AL138" s="563">
        <f t="shared" si="192"/>
        <v>280</v>
      </c>
      <c r="AM138" s="472">
        <f t="shared" si="193"/>
        <v>350</v>
      </c>
      <c r="AO138" s="472">
        <f t="shared" si="194"/>
        <v>280</v>
      </c>
      <c r="AP138" s="472">
        <f t="shared" si="195"/>
        <v>350</v>
      </c>
      <c r="AR138" s="6">
        <f t="shared" si="233"/>
        <v>2.8571428571428572</v>
      </c>
      <c r="AS138" s="6">
        <f t="shared" si="230"/>
        <v>1.4888474289418197</v>
      </c>
      <c r="AT138" s="6">
        <f t="shared" si="231"/>
        <v>1.3682954282010376</v>
      </c>
      <c r="AU138" s="179">
        <f t="shared" si="232"/>
        <v>0.52109660012963688</v>
      </c>
      <c r="AW138" s="6">
        <f t="shared" si="199"/>
        <v>8.33754560207419</v>
      </c>
      <c r="AX138" s="6">
        <f t="shared" si="200"/>
        <v>6.3163224258137811</v>
      </c>
      <c r="AY138" s="6">
        <f t="shared" si="201"/>
        <v>0.1478096913180133</v>
      </c>
      <c r="AZ138" s="6"/>
      <c r="BA138" s="179">
        <f t="shared" si="202"/>
        <v>0.24820394448874175</v>
      </c>
      <c r="BB138" s="179">
        <f t="shared" si="203"/>
        <v>0.71382996397045873</v>
      </c>
      <c r="BC138" s="179">
        <f t="shared" si="204"/>
        <v>0.34680239082898118</v>
      </c>
      <c r="BD138" s="179"/>
      <c r="BE138" s="546">
        <f t="shared" si="205"/>
        <v>2.1561819320919638E-2</v>
      </c>
      <c r="BF138" s="546">
        <f t="shared" si="206"/>
        <v>4.3615785430850602E-2</v>
      </c>
      <c r="BG138" s="546">
        <f t="shared" si="207"/>
        <v>4.3749999999999995E-3</v>
      </c>
      <c r="BH138" s="546">
        <f t="shared" si="208"/>
        <v>1.3622175E-2</v>
      </c>
      <c r="BI138">
        <f t="shared" si="209"/>
        <v>3.48E-3</v>
      </c>
      <c r="BK138" s="472">
        <f t="shared" si="210"/>
        <v>86.654779751770249</v>
      </c>
      <c r="BL138" s="179">
        <f t="shared" si="211"/>
        <v>0.11200000000000002</v>
      </c>
      <c r="BM138" s="179">
        <f t="shared" si="212"/>
        <v>5.6000000000000008E-2</v>
      </c>
      <c r="BN138" s="546"/>
      <c r="BP138" s="472">
        <f t="shared" si="213"/>
        <v>168.00000000000003</v>
      </c>
      <c r="BQ138" s="546">
        <f t="shared" si="214"/>
        <v>1.232103961195408E-2</v>
      </c>
      <c r="BR138" s="546">
        <f t="shared" si="215"/>
        <v>2.0382128698482656E-2</v>
      </c>
      <c r="BS138" s="546">
        <f t="shared" si="216"/>
        <v>1.2027189828469741E-2</v>
      </c>
      <c r="BT138" s="546">
        <f t="shared" si="217"/>
        <v>3.1362854391796521E-2</v>
      </c>
      <c r="BU138" s="546"/>
      <c r="BV138" s="655">
        <f t="shared" si="218"/>
        <v>1.2413333333333335E-2</v>
      </c>
      <c r="BW138" s="472">
        <f t="shared" si="219"/>
        <v>88.50654586403634</v>
      </c>
      <c r="BX138" s="179">
        <f t="shared" si="220"/>
        <v>0.34316132561580659</v>
      </c>
      <c r="BY138" s="6">
        <f t="shared" si="221"/>
        <v>1.8620000000000001</v>
      </c>
      <c r="BZ138" s="179">
        <f t="shared" si="222"/>
        <v>0.84438266641558468</v>
      </c>
      <c r="CA138" s="6">
        <f t="shared" si="223"/>
        <v>84.438266641558471</v>
      </c>
      <c r="CB138">
        <f t="shared" si="224"/>
        <v>28.000000000000004</v>
      </c>
      <c r="CD138" s="581">
        <f t="shared" si="225"/>
        <v>-50</v>
      </c>
      <c r="CE138">
        <f t="shared" si="226"/>
        <v>-50</v>
      </c>
    </row>
    <row r="139" spans="5:83" x14ac:dyDescent="0.2">
      <c r="E139" s="176">
        <v>29</v>
      </c>
      <c r="F139" s="223">
        <f t="shared" si="227"/>
        <v>0.28999999999999998</v>
      </c>
      <c r="G139" s="223">
        <f t="shared" si="168"/>
        <v>0.14499999999999999</v>
      </c>
      <c r="H139" s="223">
        <f t="shared" si="169"/>
        <v>1.45</v>
      </c>
      <c r="I139" s="223">
        <f t="shared" si="170"/>
        <v>0.47849999999999993</v>
      </c>
      <c r="J139" s="559">
        <f t="shared" si="171"/>
        <v>12</v>
      </c>
      <c r="K139" s="454">
        <f t="shared" si="172"/>
        <v>15.899999999999999</v>
      </c>
      <c r="L139" s="454">
        <f t="shared" si="173"/>
        <v>27.9</v>
      </c>
      <c r="M139" s="454"/>
      <c r="N139" s="223">
        <f t="shared" si="174"/>
        <v>0.56989247311827951</v>
      </c>
      <c r="O139" s="178">
        <f t="shared" si="228"/>
        <v>3.4707737084647103</v>
      </c>
      <c r="P139" s="178">
        <f t="shared" si="229"/>
        <v>1.5233225806451611</v>
      </c>
      <c r="Q139" s="223">
        <f t="shared" si="175"/>
        <v>0.69415474169294211</v>
      </c>
      <c r="R139" s="223">
        <f t="shared" si="176"/>
        <v>1.0517496086256699</v>
      </c>
      <c r="S139" s="223">
        <f t="shared" si="177"/>
        <v>5</v>
      </c>
      <c r="T139" s="223">
        <f t="shared" si="178"/>
        <v>0.62666142557651994</v>
      </c>
      <c r="U139" s="223">
        <f t="shared" si="179"/>
        <v>1.5666535639413</v>
      </c>
      <c r="V139" s="223">
        <f t="shared" si="180"/>
        <v>1.1823800482575848</v>
      </c>
      <c r="W139" s="203">
        <f t="shared" si="181"/>
        <v>350</v>
      </c>
      <c r="X139" s="454">
        <f t="shared" si="182"/>
        <v>350</v>
      </c>
      <c r="Z139" s="223">
        <f t="shared" si="183"/>
        <v>0.65130568356374818</v>
      </c>
      <c r="AA139" s="179">
        <f t="shared" si="184"/>
        <v>1.2288786482334872</v>
      </c>
      <c r="AB139" s="179">
        <f t="shared" si="185"/>
        <v>0.31593775579129196</v>
      </c>
      <c r="AC139" s="179"/>
      <c r="AD139" s="179">
        <f t="shared" si="186"/>
        <v>0.5660377358490567</v>
      </c>
      <c r="AE139" s="563">
        <f t="shared" si="187"/>
        <v>1138.5185185185182</v>
      </c>
      <c r="AF139" s="546">
        <f t="shared" si="188"/>
        <v>8.9150943396226423E-2</v>
      </c>
      <c r="AH139" s="179">
        <f t="shared" si="189"/>
        <v>0.60608030271023761</v>
      </c>
      <c r="AI139" s="179">
        <f t="shared" si="190"/>
        <v>0.60608030271023761</v>
      </c>
      <c r="AJ139" s="179">
        <f t="shared" si="191"/>
        <v>1.4267261501557316</v>
      </c>
      <c r="AL139" s="563">
        <f t="shared" si="192"/>
        <v>290</v>
      </c>
      <c r="AM139" s="472">
        <f t="shared" si="193"/>
        <v>350</v>
      </c>
      <c r="AO139" s="472">
        <f t="shared" si="194"/>
        <v>290</v>
      </c>
      <c r="AP139" s="472">
        <f t="shared" si="195"/>
        <v>350</v>
      </c>
      <c r="AR139" s="6">
        <f t="shared" si="233"/>
        <v>2.8571428571428572</v>
      </c>
      <c r="AS139" s="6">
        <f t="shared" si="230"/>
        <v>1.5152007567755941</v>
      </c>
      <c r="AT139" s="6">
        <f t="shared" si="231"/>
        <v>1.3419421003672631</v>
      </c>
      <c r="AU139" s="179">
        <f t="shared" si="232"/>
        <v>0.53032026487145789</v>
      </c>
      <c r="AW139" s="6">
        <f t="shared" si="199"/>
        <v>8.788164389298446</v>
      </c>
      <c r="AX139" s="6">
        <f t="shared" si="200"/>
        <v>6.6577002949230639</v>
      </c>
      <c r="AY139" s="6">
        <f t="shared" si="201"/>
        <v>0.15014012697010271</v>
      </c>
      <c r="AZ139" s="6"/>
      <c r="BA139" s="179">
        <f t="shared" si="202"/>
        <v>0.25482301742545999</v>
      </c>
      <c r="BB139" s="179">
        <f t="shared" si="203"/>
        <v>0.71943524247263091</v>
      </c>
      <c r="BC139" s="179">
        <f t="shared" si="204"/>
        <v>0.34952562196795317</v>
      </c>
      <c r="BD139" s="179"/>
      <c r="BE139" s="546">
        <f t="shared" si="205"/>
        <v>2.2727169573435697E-2</v>
      </c>
      <c r="BF139" s="546">
        <f t="shared" si="206"/>
        <v>4.4387806169741022E-2</v>
      </c>
      <c r="BG139" s="546">
        <f t="shared" si="207"/>
        <v>4.3749999999999995E-3</v>
      </c>
      <c r="BH139" s="546">
        <f t="shared" si="208"/>
        <v>1.3622175E-2</v>
      </c>
      <c r="BI139">
        <f t="shared" si="209"/>
        <v>3.48E-3</v>
      </c>
      <c r="BK139" s="472">
        <f t="shared" si="210"/>
        <v>88.592150743176717</v>
      </c>
      <c r="BL139" s="179">
        <f t="shared" si="211"/>
        <v>0.11599999999999999</v>
      </c>
      <c r="BM139" s="179">
        <f t="shared" si="212"/>
        <v>5.7999999999999996E-2</v>
      </c>
      <c r="BN139" s="546"/>
      <c r="BP139" s="472">
        <f t="shared" si="213"/>
        <v>174</v>
      </c>
      <c r="BQ139" s="546">
        <f t="shared" si="214"/>
        <v>1.2986954041963256E-2</v>
      </c>
      <c r="BR139" s="546">
        <f t="shared" si="215"/>
        <v>2.0703482724466128E-2</v>
      </c>
      <c r="BS139" s="546">
        <f t="shared" si="216"/>
        <v>1.2216816041208452E-2</v>
      </c>
      <c r="BT139" s="546">
        <f t="shared" si="217"/>
        <v>3.2769177435481647E-2</v>
      </c>
      <c r="BU139" s="546"/>
      <c r="BV139" s="655">
        <f t="shared" si="218"/>
        <v>1.2856666666666664E-2</v>
      </c>
      <c r="BW139" s="472">
        <f t="shared" si="219"/>
        <v>91.533096909786153</v>
      </c>
      <c r="BX139" s="179">
        <f t="shared" si="220"/>
        <v>0.35412524765296288</v>
      </c>
      <c r="BY139" s="6">
        <f t="shared" si="221"/>
        <v>1.9284999999999999</v>
      </c>
      <c r="BZ139" s="179">
        <f t="shared" si="222"/>
        <v>0.84486054028488422</v>
      </c>
      <c r="CA139" s="6">
        <f t="shared" si="223"/>
        <v>84.486054028488425</v>
      </c>
      <c r="CB139">
        <f t="shared" si="224"/>
        <v>28.999999999999996</v>
      </c>
      <c r="CD139" s="581">
        <f t="shared" si="225"/>
        <v>-50</v>
      </c>
      <c r="CE139">
        <f t="shared" si="226"/>
        <v>-50</v>
      </c>
    </row>
    <row r="140" spans="5:83" x14ac:dyDescent="0.2">
      <c r="E140" s="176">
        <v>30</v>
      </c>
      <c r="F140" s="223">
        <f t="shared" si="227"/>
        <v>0.3</v>
      </c>
      <c r="G140" s="223">
        <f t="shared" si="168"/>
        <v>0.15</v>
      </c>
      <c r="H140" s="223">
        <f t="shared" si="169"/>
        <v>1.5</v>
      </c>
      <c r="I140" s="223">
        <f t="shared" si="170"/>
        <v>0.49499999999999994</v>
      </c>
      <c r="J140" s="559">
        <f t="shared" si="171"/>
        <v>12</v>
      </c>
      <c r="K140" s="454">
        <f t="shared" si="172"/>
        <v>15.899999999999999</v>
      </c>
      <c r="L140" s="454">
        <f t="shared" si="173"/>
        <v>27.9</v>
      </c>
      <c r="M140" s="454"/>
      <c r="N140" s="223">
        <f t="shared" si="174"/>
        <v>0.56989247311827951</v>
      </c>
      <c r="O140" s="178">
        <f t="shared" si="228"/>
        <v>3.4707737084647103</v>
      </c>
      <c r="P140" s="178">
        <f t="shared" si="229"/>
        <v>1.5233225806451611</v>
      </c>
      <c r="Q140" s="223">
        <f t="shared" si="175"/>
        <v>0.69415474169294211</v>
      </c>
      <c r="R140" s="223">
        <f t="shared" si="176"/>
        <v>1.0517496086256699</v>
      </c>
      <c r="S140" s="223">
        <f t="shared" si="177"/>
        <v>5</v>
      </c>
      <c r="T140" s="223">
        <f t="shared" si="178"/>
        <v>0.64827044025157232</v>
      </c>
      <c r="U140" s="223">
        <f t="shared" si="179"/>
        <v>1.620676100628931</v>
      </c>
      <c r="V140" s="223">
        <f t="shared" si="180"/>
        <v>1.2231517740595708</v>
      </c>
      <c r="W140" s="203">
        <f t="shared" si="181"/>
        <v>350</v>
      </c>
      <c r="X140" s="454">
        <f t="shared" si="182"/>
        <v>350</v>
      </c>
      <c r="Z140" s="223">
        <f t="shared" si="183"/>
        <v>0.65130568356374818</v>
      </c>
      <c r="AA140" s="179">
        <f t="shared" si="184"/>
        <v>1.2288786482334872</v>
      </c>
      <c r="AB140" s="179">
        <f t="shared" si="185"/>
        <v>0.31593775579129196</v>
      </c>
      <c r="AC140" s="179"/>
      <c r="AD140" s="179">
        <f t="shared" si="186"/>
        <v>0.5660377358490567</v>
      </c>
      <c r="AE140" s="563">
        <f t="shared" si="187"/>
        <v>1177.7777777777776</v>
      </c>
      <c r="AF140" s="546">
        <f t="shared" si="188"/>
        <v>8.9150943396226423E-2</v>
      </c>
      <c r="AH140" s="179">
        <f t="shared" si="189"/>
        <v>0.61644140029689765</v>
      </c>
      <c r="AI140" s="179">
        <f t="shared" si="190"/>
        <v>0.61644140029689765</v>
      </c>
      <c r="AJ140" s="179">
        <f t="shared" si="191"/>
        <v>1.4344010372569611</v>
      </c>
      <c r="AL140" s="563">
        <f t="shared" si="192"/>
        <v>300</v>
      </c>
      <c r="AM140" s="472">
        <f t="shared" si="193"/>
        <v>350</v>
      </c>
      <c r="AO140" s="472">
        <f t="shared" si="194"/>
        <v>300</v>
      </c>
      <c r="AP140" s="472">
        <f t="shared" si="195"/>
        <v>350</v>
      </c>
      <c r="AR140" s="6">
        <f t="shared" si="233"/>
        <v>2.8571428571428572</v>
      </c>
      <c r="AS140" s="6">
        <f t="shared" si="230"/>
        <v>1.541103500742244</v>
      </c>
      <c r="AT140" s="6">
        <f t="shared" si="231"/>
        <v>1.3160393564006132</v>
      </c>
      <c r="AU140" s="179">
        <f t="shared" si="232"/>
        <v>0.53938622525978541</v>
      </c>
      <c r="AW140" s="6">
        <f t="shared" si="199"/>
        <v>9.2466210044534645</v>
      </c>
      <c r="AX140" s="6">
        <f t="shared" si="200"/>
        <v>7.0050159124647449</v>
      </c>
      <c r="AY140" s="6">
        <f t="shared" si="201"/>
        <v>0.15231936995377462</v>
      </c>
      <c r="AZ140" s="6"/>
      <c r="BA140" s="179">
        <f t="shared" si="202"/>
        <v>0.26138526201676487</v>
      </c>
      <c r="BB140" s="179">
        <f t="shared" si="203"/>
        <v>0.72463763579036156</v>
      </c>
      <c r="BC140" s="179">
        <f t="shared" si="204"/>
        <v>0.35205311805481732</v>
      </c>
      <c r="BD140" s="179"/>
      <c r="BE140" s="546">
        <f t="shared" si="205"/>
        <v>2.391278931985049E-2</v>
      </c>
      <c r="BF140" s="546">
        <f t="shared" si="206"/>
        <v>4.5146627054244035E-2</v>
      </c>
      <c r="BG140" s="546">
        <f t="shared" si="207"/>
        <v>4.3749999999999995E-3</v>
      </c>
      <c r="BH140" s="546">
        <f t="shared" si="208"/>
        <v>1.3622175E-2</v>
      </c>
      <c r="BI140">
        <f t="shared" si="209"/>
        <v>3.48E-3</v>
      </c>
      <c r="BK140" s="472">
        <f t="shared" si="210"/>
        <v>90.536591374094513</v>
      </c>
      <c r="BL140" s="179">
        <f t="shared" si="211"/>
        <v>0.12</v>
      </c>
      <c r="BM140" s="179">
        <f t="shared" si="212"/>
        <v>0.06</v>
      </c>
      <c r="BN140" s="546"/>
      <c r="BP140" s="472">
        <f t="shared" si="213"/>
        <v>180</v>
      </c>
      <c r="BQ140" s="546">
        <f t="shared" si="214"/>
        <v>1.3664451039914566E-2</v>
      </c>
      <c r="BR140" s="546">
        <f t="shared" si="215"/>
        <v>2.1003988128153787E-2</v>
      </c>
      <c r="BS140" s="546">
        <f t="shared" si="216"/>
        <v>1.2394139793211915E-2</v>
      </c>
      <c r="BT140" s="546">
        <f t="shared" si="217"/>
        <v>3.4187678481888598E-2</v>
      </c>
      <c r="BU140" s="546"/>
      <c r="BV140" s="655">
        <f t="shared" si="218"/>
        <v>1.3300000000000001E-2</v>
      </c>
      <c r="BW140" s="472">
        <f t="shared" si="219"/>
        <v>94.550257443168874</v>
      </c>
      <c r="BX140" s="179">
        <f t="shared" si="220"/>
        <v>0.36508684881726339</v>
      </c>
      <c r="BY140" s="6">
        <f t="shared" si="221"/>
        <v>1.9949999999999999</v>
      </c>
      <c r="BZ140" s="179">
        <f t="shared" si="222"/>
        <v>0.8453078754283031</v>
      </c>
      <c r="CA140" s="6">
        <f t="shared" si="223"/>
        <v>84.530787542830311</v>
      </c>
      <c r="CB140">
        <f t="shared" si="224"/>
        <v>30</v>
      </c>
      <c r="CD140" s="581">
        <f t="shared" si="225"/>
        <v>-50</v>
      </c>
      <c r="CE140">
        <f t="shared" si="226"/>
        <v>-50</v>
      </c>
    </row>
    <row r="141" spans="5:83" x14ac:dyDescent="0.2">
      <c r="E141" s="176">
        <v>31</v>
      </c>
      <c r="F141" s="223">
        <f t="shared" si="227"/>
        <v>0.31</v>
      </c>
      <c r="G141" s="223">
        <f t="shared" si="168"/>
        <v>0.155</v>
      </c>
      <c r="H141" s="223">
        <f t="shared" si="169"/>
        <v>1.55</v>
      </c>
      <c r="I141" s="223">
        <f t="shared" si="170"/>
        <v>0.51149999999999995</v>
      </c>
      <c r="J141" s="559">
        <f t="shared" si="171"/>
        <v>12</v>
      </c>
      <c r="K141" s="454">
        <f t="shared" si="172"/>
        <v>15.899999999999999</v>
      </c>
      <c r="L141" s="454">
        <f t="shared" si="173"/>
        <v>27.9</v>
      </c>
      <c r="M141" s="454"/>
      <c r="N141" s="223">
        <f t="shared" si="174"/>
        <v>0.56989247311827951</v>
      </c>
      <c r="O141" s="178">
        <f t="shared" si="228"/>
        <v>3.4707737084647103</v>
      </c>
      <c r="P141" s="178">
        <f t="shared" si="229"/>
        <v>1.5233225806451611</v>
      </c>
      <c r="Q141" s="223">
        <f t="shared" si="175"/>
        <v>0.69415474169294211</v>
      </c>
      <c r="R141" s="223">
        <f t="shared" si="176"/>
        <v>1.0517496086256699</v>
      </c>
      <c r="S141" s="223">
        <f t="shared" si="177"/>
        <v>5</v>
      </c>
      <c r="T141" s="223">
        <f t="shared" si="178"/>
        <v>0.66987945492662482</v>
      </c>
      <c r="U141" s="223">
        <f t="shared" si="179"/>
        <v>1.6746986373165622</v>
      </c>
      <c r="V141" s="223">
        <f t="shared" si="180"/>
        <v>1.2639234998615565</v>
      </c>
      <c r="W141" s="203">
        <f t="shared" si="181"/>
        <v>350</v>
      </c>
      <c r="X141" s="454">
        <f t="shared" si="182"/>
        <v>340.29553760874938</v>
      </c>
      <c r="Z141" s="223">
        <f t="shared" si="183"/>
        <v>0.65130568356374818</v>
      </c>
      <c r="AA141" s="179">
        <f t="shared" si="184"/>
        <v>1.2288786482334872</v>
      </c>
      <c r="AB141" s="179">
        <f t="shared" si="185"/>
        <v>0.31593775579129196</v>
      </c>
      <c r="AC141" s="179"/>
      <c r="AD141" s="179">
        <f t="shared" si="186"/>
        <v>0.5660377358490567</v>
      </c>
      <c r="AE141" s="563">
        <f t="shared" si="187"/>
        <v>1217.037037037037</v>
      </c>
      <c r="AF141" s="546">
        <f t="shared" si="188"/>
        <v>8.9150943396226423E-2</v>
      </c>
      <c r="AH141" s="179">
        <f t="shared" si="189"/>
        <v>0.62663120467039202</v>
      </c>
      <c r="AI141" s="179">
        <f t="shared" si="190"/>
        <v>0.62663120467039202</v>
      </c>
      <c r="AJ141" s="179">
        <f t="shared" si="191"/>
        <v>1.4419490404965867</v>
      </c>
      <c r="AL141" s="563">
        <f t="shared" si="192"/>
        <v>310</v>
      </c>
      <c r="AM141" s="472">
        <f t="shared" si="193"/>
        <v>340.29553760874938</v>
      </c>
      <c r="AO141" s="472">
        <f t="shared" si="194"/>
        <v>310</v>
      </c>
      <c r="AP141" s="472">
        <f t="shared" si="195"/>
        <v>340.29553760874938</v>
      </c>
      <c r="AR141" s="6">
        <f t="shared" si="233"/>
        <v>2.9386221371781187</v>
      </c>
      <c r="AS141" s="6">
        <f t="shared" si="230"/>
        <v>1.56657801167598</v>
      </c>
      <c r="AT141" s="6">
        <f t="shared" si="231"/>
        <v>1.3720441255021387</v>
      </c>
      <c r="AU141" s="179">
        <f t="shared" si="232"/>
        <v>0.53309950668932327</v>
      </c>
      <c r="AW141" s="6">
        <f t="shared" si="199"/>
        <v>9.7127836723910761</v>
      </c>
      <c r="AX141" s="6">
        <f t="shared" si="200"/>
        <v>7.3581694487811173</v>
      </c>
      <c r="AY141" s="6">
        <f t="shared" si="201"/>
        <v>0.16409478352841933</v>
      </c>
      <c r="AZ141" s="6"/>
      <c r="BA141" s="179">
        <f t="shared" si="202"/>
        <v>0.26415298994669795</v>
      </c>
      <c r="BB141" s="179">
        <f t="shared" si="203"/>
        <v>0.74162576891581744</v>
      </c>
      <c r="BC141" s="179">
        <f t="shared" si="204"/>
        <v>0.36030651939826791</v>
      </c>
      <c r="BD141" s="179"/>
      <c r="BE141" s="546">
        <f t="shared" si="205"/>
        <v>2.4421880734223106E-2</v>
      </c>
      <c r="BF141" s="546">
        <f t="shared" si="206"/>
        <v>4.4620428709896354E-2</v>
      </c>
      <c r="BG141" s="546">
        <f t="shared" si="207"/>
        <v>4.2536942201093671E-3</v>
      </c>
      <c r="BH141" s="546">
        <f t="shared" si="208"/>
        <v>1.3244472471501331E-2</v>
      </c>
      <c r="BI141">
        <f t="shared" si="209"/>
        <v>3.48E-3</v>
      </c>
      <c r="BK141" s="472">
        <f t="shared" si="210"/>
        <v>90.020476135730149</v>
      </c>
      <c r="BL141" s="179">
        <f t="shared" si="211"/>
        <v>0.124</v>
      </c>
      <c r="BM141" s="179">
        <f t="shared" si="212"/>
        <v>6.2E-2</v>
      </c>
      <c r="BN141" s="546"/>
      <c r="BP141" s="472">
        <f t="shared" si="213"/>
        <v>186</v>
      </c>
      <c r="BQ141" s="546">
        <f t="shared" si="214"/>
        <v>1.3955360419556063E-2</v>
      </c>
      <c r="BR141" s="546">
        <f t="shared" si="215"/>
        <v>2.2000351244799096E-2</v>
      </c>
      <c r="BS141" s="546">
        <f t="shared" si="216"/>
        <v>1.2982078792089442E-2</v>
      </c>
      <c r="BT141" s="546">
        <f t="shared" si="217"/>
        <v>3.3200198802887354E-2</v>
      </c>
      <c r="BU141" s="546"/>
      <c r="BV141" s="655">
        <f t="shared" si="218"/>
        <v>1.3362271443436895E-2</v>
      </c>
      <c r="BW141" s="472">
        <f t="shared" si="219"/>
        <v>95.500260702768841</v>
      </c>
      <c r="BX141" s="179">
        <f t="shared" si="220"/>
        <v>0.37152073683849901</v>
      </c>
      <c r="BY141" s="6">
        <f t="shared" si="221"/>
        <v>2.0615000000000001</v>
      </c>
      <c r="BZ141" s="179">
        <f t="shared" si="222"/>
        <v>0.84730062871504408</v>
      </c>
      <c r="CA141" s="6">
        <f t="shared" si="223"/>
        <v>84.730062871504401</v>
      </c>
      <c r="CB141">
        <f t="shared" si="224"/>
        <v>31</v>
      </c>
      <c r="CD141" s="581">
        <f t="shared" si="225"/>
        <v>-50</v>
      </c>
      <c r="CE141">
        <f t="shared" si="226"/>
        <v>-50</v>
      </c>
    </row>
    <row r="142" spans="5:83" x14ac:dyDescent="0.2">
      <c r="E142" s="176">
        <v>32</v>
      </c>
      <c r="F142" s="223">
        <f t="shared" si="227"/>
        <v>0.32</v>
      </c>
      <c r="G142" s="223">
        <f t="shared" ref="G142:G173" si="234">IF(PLOT_TYPE=1, E142/100*Iout2, min_I*EXP(Q142*rr/100))</f>
        <v>0.16</v>
      </c>
      <c r="H142" s="223">
        <f t="shared" ref="H142:H173" si="235">F142*Vout</f>
        <v>1.6</v>
      </c>
      <c r="I142" s="223">
        <f t="shared" ref="I142:I173" si="236">Vout2*G142</f>
        <v>0.52800000000000002</v>
      </c>
      <c r="J142" s="559">
        <f t="shared" si="171"/>
        <v>12</v>
      </c>
      <c r="K142" s="454">
        <f t="shared" si="172"/>
        <v>15.899999999999999</v>
      </c>
      <c r="L142" s="454">
        <f t="shared" si="173"/>
        <v>27.9</v>
      </c>
      <c r="M142" s="454"/>
      <c r="N142" s="223">
        <f t="shared" si="174"/>
        <v>0.56989247311827951</v>
      </c>
      <c r="O142" s="178">
        <f t="shared" ref="O142:O173" si="237">N142*J142*Isw_max*0.5*Efficiency*Pout/(Pout+Pout2)</f>
        <v>3.4707737084647103</v>
      </c>
      <c r="P142" s="178">
        <f t="shared" ref="P142:P173" si="238">N142*J142*Isw_max*0.5*Efficiency*(Pout2/Pout_total)</f>
        <v>1.5233225806451611</v>
      </c>
      <c r="Q142" s="223">
        <f t="shared" si="175"/>
        <v>0.69415474169294211</v>
      </c>
      <c r="R142" s="223">
        <f t="shared" ref="R142:R173" si="239">O142/Vout2</f>
        <v>1.0517496086256699</v>
      </c>
      <c r="S142" s="223">
        <f t="shared" ref="S142:S173" si="240">MIN(Vout,O142/F142)</f>
        <v>5</v>
      </c>
      <c r="T142" s="223">
        <f t="shared" ref="T142:T173" si="241">MIN(2*(Vout*F142+Vout2*G142)/(Efficiency*J142*N142), Isw_max)</f>
        <v>0.6914884696016772</v>
      </c>
      <c r="U142" s="223">
        <f t="shared" si="179"/>
        <v>1.728721174004193</v>
      </c>
      <c r="V142" s="223">
        <f t="shared" si="180"/>
        <v>1.304695225663542</v>
      </c>
      <c r="W142" s="203">
        <f t="shared" si="181"/>
        <v>350</v>
      </c>
      <c r="X142" s="454">
        <f t="shared" si="182"/>
        <v>329.661302058476</v>
      </c>
      <c r="Z142" s="223">
        <f t="shared" si="183"/>
        <v>0.65130568356374818</v>
      </c>
      <c r="AA142" s="179">
        <f t="shared" si="184"/>
        <v>1.2288786482334872</v>
      </c>
      <c r="AB142" s="179">
        <f t="shared" ref="AB142:AB173" si="242">0.5*AA142*Z142*Nps*W142/1000*(Pout/(Pout+Pout2))</f>
        <v>0.31593775579129196</v>
      </c>
      <c r="AC142" s="179"/>
      <c r="AD142" s="179">
        <f t="shared" si="186"/>
        <v>0.5660377358490567</v>
      </c>
      <c r="AE142" s="563">
        <f t="shared" ref="AE142:AE173" si="243">MAX(10, F142/(0.5*AD142/1000000*Isw_min*Nps)/1000*Pout_total/Pout)</f>
        <v>1256.2962962962961</v>
      </c>
      <c r="AF142" s="546">
        <f t="shared" ref="AF142:AF173" si="244">0.5*AD142/1000000*Isw_min*Nps*W142*1000*(Pout/Pout_total)</f>
        <v>8.9150943396226423E-2</v>
      </c>
      <c r="AH142" s="179">
        <f t="shared" ref="AH142:AH173" si="245">SQRT((H142+I142)/(0.5*L*Fsw_DCM))</f>
        <v>0.63665794060337721</v>
      </c>
      <c r="AI142" s="179">
        <f t="shared" ref="AI142:AI173" si="246">MAX(IF(F142&gt;AB142,T142,AH142),Isw_min)</f>
        <v>0.6914884696016772</v>
      </c>
      <c r="AJ142" s="179">
        <f t="shared" ref="AJ142:AJ173" si="247">IF(F142&gt;AF142, (AI142-Isw_min)/1.08*0.8+1.2, AE142*0.2/350+1)</f>
        <v>1.4899914589642054</v>
      </c>
      <c r="AL142" s="563">
        <f t="shared" ref="AL142:AL173" si="248">F142*1000</f>
        <v>320</v>
      </c>
      <c r="AM142" s="472">
        <f t="shared" ref="AM142:AM173" si="249">IF(F142&gt;AF142, X142, AE142)</f>
        <v>329.661302058476</v>
      </c>
      <c r="AO142" s="472">
        <f t="shared" si="194"/>
        <v>320</v>
      </c>
      <c r="AP142" s="472">
        <f t="shared" si="195"/>
        <v>329.661302058476</v>
      </c>
      <c r="AR142" s="6">
        <f t="shared" si="233"/>
        <v>3.0334163996677352</v>
      </c>
      <c r="AS142" s="6">
        <f t="shared" si="230"/>
        <v>1.728721174004193</v>
      </c>
      <c r="AT142" s="6">
        <f t="shared" si="231"/>
        <v>1.3046952256635422</v>
      </c>
      <c r="AU142" s="179">
        <f t="shared" si="232"/>
        <v>0.56989247311827951</v>
      </c>
      <c r="AW142" s="6">
        <f t="shared" si="199"/>
        <v>11.063815513626835</v>
      </c>
      <c r="AX142" s="6">
        <f t="shared" si="200"/>
        <v>8.3816784194142695</v>
      </c>
      <c r="AY142" s="6">
        <f t="shared" si="201"/>
        <v>0.16107348464982002</v>
      </c>
      <c r="AZ142" s="6"/>
      <c r="BA142" s="179">
        <f t="shared" si="202"/>
        <v>0.30138440481173956</v>
      </c>
      <c r="BB142" s="179">
        <f t="shared" si="203"/>
        <v>0.7854781191113287</v>
      </c>
      <c r="BC142" s="179">
        <f t="shared" si="204"/>
        <v>0.38161145286825382</v>
      </c>
      <c r="BD142" s="179"/>
      <c r="BE142" s="546">
        <f t="shared" si="205"/>
        <v>3.1791395812304279E-2</v>
      </c>
      <c r="BF142" s="546">
        <f t="shared" si="206"/>
        <v>4.7699999999999985E-2</v>
      </c>
      <c r="BG142" s="546">
        <f t="shared" si="207"/>
        <v>4.1207662757309499E-3</v>
      </c>
      <c r="BH142" s="546">
        <f t="shared" si="208"/>
        <v>1.2830582706766914E-2</v>
      </c>
      <c r="BI142">
        <f t="shared" si="209"/>
        <v>3.48E-3</v>
      </c>
      <c r="BK142" s="472">
        <f t="shared" si="210"/>
        <v>99.922744794802128</v>
      </c>
      <c r="BL142" s="179">
        <f t="shared" si="211"/>
        <v>0.128</v>
      </c>
      <c r="BM142" s="179">
        <f t="shared" si="212"/>
        <v>6.4000000000000001E-2</v>
      </c>
      <c r="BN142" s="546"/>
      <c r="BP142" s="472">
        <f t="shared" si="213"/>
        <v>192</v>
      </c>
      <c r="BQ142" s="546">
        <f t="shared" si="214"/>
        <v>1.8166511892745301E-2</v>
      </c>
      <c r="BR142" s="546">
        <f t="shared" si="215"/>
        <v>2.4679035024106826E-2</v>
      </c>
      <c r="BS142" s="546">
        <f t="shared" si="216"/>
        <v>1.456273009602195E-2</v>
      </c>
      <c r="BT142" s="546">
        <f t="shared" si="217"/>
        <v>3.9228552675452805E-2</v>
      </c>
      <c r="BU142" s="546"/>
      <c r="BV142" s="655">
        <f t="shared" ref="BV142:BV173" si="250">0.5*Lleak*0.000000001*AI142^2*AM142*1000</f>
        <v>1.5762962962962961E-2</v>
      </c>
      <c r="BW142" s="472">
        <f t="shared" si="219"/>
        <v>112.39979265128984</v>
      </c>
      <c r="BX142" s="179">
        <f t="shared" si="220"/>
        <v>0.40432253744609203</v>
      </c>
      <c r="BY142" s="6">
        <f t="shared" si="221"/>
        <v>2.1280000000000001</v>
      </c>
      <c r="BZ142" s="179">
        <f t="shared" si="222"/>
        <v>0.84033529241742599</v>
      </c>
      <c r="CA142" s="6">
        <f t="shared" si="223"/>
        <v>84.033529241742599</v>
      </c>
      <c r="CB142">
        <f t="shared" si="224"/>
        <v>32</v>
      </c>
      <c r="CD142" s="581">
        <f t="shared" ref="CD142:CD173" si="251">IF(ABS(F142-Ioutmax_Vinmin)&lt;Iout/200, AM142, -50)</f>
        <v>-50</v>
      </c>
      <c r="CE142">
        <f t="shared" ref="CE142:CE173" si="252">IF(ABS(F142-Ioutmax_Vinmin)&lt;Iout/200, (O142+P142)*BZ142, -50)</f>
        <v>-50</v>
      </c>
    </row>
    <row r="143" spans="5:83" x14ac:dyDescent="0.2">
      <c r="E143" s="176">
        <v>33</v>
      </c>
      <c r="F143" s="223">
        <f t="shared" ref="F143:F174" si="253">IF(PLOT_TYPE=1, E143/100*Iout_max, min_I*EXP(O143*rr/100))</f>
        <v>0.33</v>
      </c>
      <c r="G143" s="223">
        <f t="shared" si="234"/>
        <v>0.16500000000000001</v>
      </c>
      <c r="H143" s="223">
        <f t="shared" si="235"/>
        <v>1.6500000000000001</v>
      </c>
      <c r="I143" s="223">
        <f t="shared" si="236"/>
        <v>0.54449999999999998</v>
      </c>
      <c r="J143" s="559">
        <f t="shared" si="171"/>
        <v>12</v>
      </c>
      <c r="K143" s="454">
        <f t="shared" si="172"/>
        <v>15.899999999999999</v>
      </c>
      <c r="L143" s="454">
        <f t="shared" si="173"/>
        <v>27.9</v>
      </c>
      <c r="M143" s="454"/>
      <c r="N143" s="223">
        <f t="shared" si="174"/>
        <v>0.56989247311827951</v>
      </c>
      <c r="O143" s="178">
        <f t="shared" si="237"/>
        <v>3.4707737084647103</v>
      </c>
      <c r="P143" s="178">
        <f t="shared" si="238"/>
        <v>1.5233225806451611</v>
      </c>
      <c r="Q143" s="223">
        <f t="shared" si="175"/>
        <v>0.69415474169294211</v>
      </c>
      <c r="R143" s="223">
        <f t="shared" si="239"/>
        <v>1.0517496086256699</v>
      </c>
      <c r="S143" s="223">
        <f t="shared" si="240"/>
        <v>5</v>
      </c>
      <c r="T143" s="223">
        <f t="shared" si="241"/>
        <v>0.7130974842767297</v>
      </c>
      <c r="U143" s="223">
        <f t="shared" si="179"/>
        <v>1.7827437106918245</v>
      </c>
      <c r="V143" s="223">
        <f t="shared" si="180"/>
        <v>1.345466951465528</v>
      </c>
      <c r="W143" s="203">
        <f t="shared" si="181"/>
        <v>350</v>
      </c>
      <c r="X143" s="454">
        <f t="shared" si="182"/>
        <v>319.67156563246152</v>
      </c>
      <c r="Z143" s="223">
        <f t="shared" si="183"/>
        <v>0.65130568356374818</v>
      </c>
      <c r="AA143" s="179">
        <f t="shared" si="184"/>
        <v>1.2288786482334872</v>
      </c>
      <c r="AB143" s="179">
        <f t="shared" si="242"/>
        <v>0.31593775579129196</v>
      </c>
      <c r="AC143" s="179"/>
      <c r="AD143" s="179">
        <f t="shared" si="186"/>
        <v>0.5660377358490567</v>
      </c>
      <c r="AE143" s="563">
        <f t="shared" si="243"/>
        <v>1295.5555555555552</v>
      </c>
      <c r="AF143" s="546">
        <f t="shared" si="244"/>
        <v>8.9150943396226423E-2</v>
      </c>
      <c r="AH143" s="179">
        <f t="shared" si="245"/>
        <v>0.64652919500978456</v>
      </c>
      <c r="AI143" s="179">
        <f t="shared" si="246"/>
        <v>0.7130974842767297</v>
      </c>
      <c r="AJ143" s="179">
        <f t="shared" si="247"/>
        <v>1.5059981365012813</v>
      </c>
      <c r="AL143" s="563">
        <f t="shared" si="248"/>
        <v>330</v>
      </c>
      <c r="AM143" s="472">
        <f t="shared" si="249"/>
        <v>319.67156563246152</v>
      </c>
      <c r="AO143" s="472">
        <f t="shared" si="194"/>
        <v>330</v>
      </c>
      <c r="AP143" s="472">
        <f t="shared" si="195"/>
        <v>319.67156563246152</v>
      </c>
      <c r="AR143" s="6">
        <f t="shared" si="233"/>
        <v>3.1282106621573527</v>
      </c>
      <c r="AS143" s="6">
        <f t="shared" si="230"/>
        <v>1.7827437106918245</v>
      </c>
      <c r="AT143" s="6">
        <f t="shared" si="231"/>
        <v>1.3454669514655282</v>
      </c>
      <c r="AU143" s="179">
        <f t="shared" si="232"/>
        <v>0.56989247311827951</v>
      </c>
      <c r="AW143" s="6">
        <f t="shared" si="199"/>
        <v>11.766108490566044</v>
      </c>
      <c r="AX143" s="6">
        <f t="shared" si="200"/>
        <v>8.9137185534591232</v>
      </c>
      <c r="AY143" s="6">
        <f t="shared" si="201"/>
        <v>0.17129787576528713</v>
      </c>
      <c r="AZ143" s="6"/>
      <c r="BA143" s="179">
        <f t="shared" si="202"/>
        <v>0.31080266746210644</v>
      </c>
      <c r="BB143" s="179">
        <f t="shared" si="203"/>
        <v>0.81002431033355782</v>
      </c>
      <c r="BC143" s="179">
        <f t="shared" si="204"/>
        <v>0.39353681077038682</v>
      </c>
      <c r="BD143" s="179"/>
      <c r="BE143" s="546">
        <f t="shared" si="205"/>
        <v>3.3809404335546252E-2</v>
      </c>
      <c r="BF143" s="546">
        <f t="shared" si="206"/>
        <v>4.7699999999999979E-2</v>
      </c>
      <c r="BG143" s="546">
        <f t="shared" si="207"/>
        <v>3.9958945704057693E-3</v>
      </c>
      <c r="BH143" s="546">
        <f t="shared" si="208"/>
        <v>1.2441777170198218E-2</v>
      </c>
      <c r="BI143">
        <f t="shared" si="209"/>
        <v>3.48E-3</v>
      </c>
      <c r="BK143" s="472">
        <f t="shared" si="210"/>
        <v>101.42707607615021</v>
      </c>
      <c r="BL143" s="179">
        <f t="shared" si="211"/>
        <v>0.13200000000000001</v>
      </c>
      <c r="BM143" s="179">
        <f t="shared" si="212"/>
        <v>6.6000000000000003E-2</v>
      </c>
      <c r="BN143" s="546"/>
      <c r="BP143" s="472">
        <f t="shared" si="213"/>
        <v>198</v>
      </c>
      <c r="BQ143" s="546">
        <f t="shared" si="214"/>
        <v>1.9319659620312145E-2</v>
      </c>
      <c r="BR143" s="546">
        <f t="shared" si="215"/>
        <v>2.624557533325424E-2</v>
      </c>
      <c r="BS143" s="546">
        <f t="shared" si="216"/>
        <v>1.5487122143132727E-2</v>
      </c>
      <c r="BT143" s="546">
        <f t="shared" si="217"/>
        <v>3.9228552675452791E-2</v>
      </c>
      <c r="BU143" s="546"/>
      <c r="BV143" s="655">
        <f t="shared" si="250"/>
        <v>1.6255555555555558E-2</v>
      </c>
      <c r="BW143" s="472">
        <f t="shared" si="219"/>
        <v>116.53646532770745</v>
      </c>
      <c r="BX143" s="179">
        <f t="shared" si="220"/>
        <v>0.41596354140385766</v>
      </c>
      <c r="BY143" s="6">
        <f t="shared" si="221"/>
        <v>2.1945000000000001</v>
      </c>
      <c r="BZ143" s="179">
        <f t="shared" si="222"/>
        <v>0.84065529558012497</v>
      </c>
      <c r="CA143" s="6">
        <f t="shared" si="223"/>
        <v>84.0655295580125</v>
      </c>
      <c r="CB143">
        <f t="shared" si="224"/>
        <v>33</v>
      </c>
      <c r="CD143" s="581">
        <f t="shared" si="251"/>
        <v>-50</v>
      </c>
      <c r="CE143">
        <f t="shared" si="252"/>
        <v>-50</v>
      </c>
    </row>
    <row r="144" spans="5:83" x14ac:dyDescent="0.2">
      <c r="E144" s="176">
        <v>34</v>
      </c>
      <c r="F144" s="223">
        <f t="shared" si="253"/>
        <v>0.34</v>
      </c>
      <c r="G144" s="223">
        <f t="shared" si="234"/>
        <v>0.17</v>
      </c>
      <c r="H144" s="223">
        <f t="shared" si="235"/>
        <v>1.7000000000000002</v>
      </c>
      <c r="I144" s="223">
        <f t="shared" si="236"/>
        <v>0.56100000000000005</v>
      </c>
      <c r="J144" s="559">
        <f t="shared" si="171"/>
        <v>12</v>
      </c>
      <c r="K144" s="454">
        <f t="shared" si="172"/>
        <v>15.899999999999999</v>
      </c>
      <c r="L144" s="454">
        <f t="shared" si="173"/>
        <v>27.9</v>
      </c>
      <c r="M144" s="454"/>
      <c r="N144" s="223">
        <f t="shared" si="174"/>
        <v>0.56989247311827951</v>
      </c>
      <c r="O144" s="178">
        <f t="shared" si="237"/>
        <v>3.4707737084647103</v>
      </c>
      <c r="P144" s="178">
        <f t="shared" si="238"/>
        <v>1.5233225806451611</v>
      </c>
      <c r="Q144" s="223">
        <f t="shared" si="175"/>
        <v>0.69415474169294211</v>
      </c>
      <c r="R144" s="223">
        <f t="shared" si="239"/>
        <v>1.0517496086256699</v>
      </c>
      <c r="S144" s="223">
        <f t="shared" si="240"/>
        <v>5</v>
      </c>
      <c r="T144" s="223">
        <f t="shared" si="241"/>
        <v>0.73470649895178208</v>
      </c>
      <c r="U144" s="223">
        <f t="shared" si="179"/>
        <v>1.8367662473794553</v>
      </c>
      <c r="V144" s="223">
        <f t="shared" si="180"/>
        <v>1.3862386772675135</v>
      </c>
      <c r="W144" s="203">
        <f t="shared" si="181"/>
        <v>350</v>
      </c>
      <c r="X144" s="454">
        <f t="shared" si="182"/>
        <v>310.26946076091861</v>
      </c>
      <c r="Z144" s="223">
        <f t="shared" si="183"/>
        <v>0.65130568356374818</v>
      </c>
      <c r="AA144" s="179">
        <f t="shared" si="184"/>
        <v>1.2288786482334872</v>
      </c>
      <c r="AB144" s="179">
        <f t="shared" si="242"/>
        <v>0.31593775579129196</v>
      </c>
      <c r="AC144" s="179"/>
      <c r="AD144" s="179">
        <f t="shared" si="186"/>
        <v>0.5660377358490567</v>
      </c>
      <c r="AE144" s="563">
        <f t="shared" si="243"/>
        <v>1334.8148148148146</v>
      </c>
      <c r="AF144" s="546">
        <f t="shared" si="244"/>
        <v>8.9150943396226423E-2</v>
      </c>
      <c r="AH144" s="179">
        <f t="shared" si="245"/>
        <v>0.65625198412398478</v>
      </c>
      <c r="AI144" s="179">
        <f t="shared" si="246"/>
        <v>0.73470649895178208</v>
      </c>
      <c r="AJ144" s="179">
        <f t="shared" si="247"/>
        <v>1.5220048140383571</v>
      </c>
      <c r="AL144" s="563">
        <f t="shared" si="248"/>
        <v>340</v>
      </c>
      <c r="AM144" s="472">
        <f t="shared" si="249"/>
        <v>310.26946076091861</v>
      </c>
      <c r="AO144" s="472">
        <f t="shared" si="194"/>
        <v>340</v>
      </c>
      <c r="AP144" s="472">
        <f t="shared" si="195"/>
        <v>310.26946076091861</v>
      </c>
      <c r="AR144" s="6">
        <f t="shared" si="233"/>
        <v>3.2230049246469687</v>
      </c>
      <c r="AS144" s="6">
        <f t="shared" si="230"/>
        <v>1.8367662473794553</v>
      </c>
      <c r="AT144" s="6">
        <f t="shared" si="231"/>
        <v>1.3862386772675135</v>
      </c>
      <c r="AU144" s="179">
        <f t="shared" si="232"/>
        <v>0.56989247311827951</v>
      </c>
      <c r="AW144" s="6">
        <f t="shared" si="199"/>
        <v>12.490010482180297</v>
      </c>
      <c r="AX144" s="6">
        <f t="shared" si="200"/>
        <v>9.4621291531668899</v>
      </c>
      <c r="AY144" s="6">
        <f t="shared" si="201"/>
        <v>0.18183686353046086</v>
      </c>
      <c r="AZ144" s="6"/>
      <c r="BA144" s="179">
        <f t="shared" si="202"/>
        <v>0.32022093011247327</v>
      </c>
      <c r="BB144" s="179">
        <f t="shared" si="203"/>
        <v>0.83457050155578671</v>
      </c>
      <c r="BC144" s="179">
        <f t="shared" si="204"/>
        <v>0.40546216867251972</v>
      </c>
      <c r="BD144" s="179"/>
      <c r="BE144" s="546">
        <f t="shared" si="205"/>
        <v>3.588950542873412E-2</v>
      </c>
      <c r="BF144" s="546">
        <f t="shared" si="206"/>
        <v>4.7699999999999992E-2</v>
      </c>
      <c r="BG144" s="546">
        <f t="shared" si="207"/>
        <v>3.8783682595114827E-3</v>
      </c>
      <c r="BH144" s="546">
        <f t="shared" si="208"/>
        <v>1.2075842547545334E-2</v>
      </c>
      <c r="BI144">
        <f t="shared" si="209"/>
        <v>3.48E-3</v>
      </c>
      <c r="BK144" s="472">
        <f t="shared" si="210"/>
        <v>103.02371623579093</v>
      </c>
      <c r="BL144" s="179">
        <f t="shared" si="211"/>
        <v>0.13600000000000001</v>
      </c>
      <c r="BM144" s="179">
        <f t="shared" si="212"/>
        <v>6.8000000000000005E-2</v>
      </c>
      <c r="BN144" s="546"/>
      <c r="BP144" s="472">
        <f t="shared" si="213"/>
        <v>204.00000000000003</v>
      </c>
      <c r="BQ144" s="546">
        <f t="shared" si="214"/>
        <v>2.0508288816419501E-2</v>
      </c>
      <c r="BR144" s="546">
        <f t="shared" si="215"/>
        <v>2.7860316882683093E-2</v>
      </c>
      <c r="BS144" s="546">
        <f t="shared" si="216"/>
        <v>1.6439957022462284E-2</v>
      </c>
      <c r="BT144" s="546">
        <f t="shared" si="217"/>
        <v>3.9228552675452853E-2</v>
      </c>
      <c r="BU144" s="546"/>
      <c r="BV144" s="655">
        <f t="shared" si="250"/>
        <v>1.6748148148148154E-2</v>
      </c>
      <c r="BW144" s="472">
        <f t="shared" si="219"/>
        <v>120.78526354516589</v>
      </c>
      <c r="BX144" s="179">
        <f t="shared" si="220"/>
        <v>0.42780897978095683</v>
      </c>
      <c r="BY144" s="6">
        <f t="shared" si="221"/>
        <v>2.2610000000000001</v>
      </c>
      <c r="BZ144" s="179">
        <f t="shared" si="222"/>
        <v>0.84089275846742806</v>
      </c>
      <c r="CA144" s="6">
        <f t="shared" si="223"/>
        <v>84.089275846742808</v>
      </c>
      <c r="CB144">
        <f t="shared" si="224"/>
        <v>34</v>
      </c>
      <c r="CD144" s="581">
        <f t="shared" si="251"/>
        <v>-50</v>
      </c>
      <c r="CE144">
        <f t="shared" si="252"/>
        <v>-50</v>
      </c>
    </row>
    <row r="145" spans="5:83" x14ac:dyDescent="0.2">
      <c r="E145" s="176">
        <v>35</v>
      </c>
      <c r="F145" s="223">
        <f t="shared" si="253"/>
        <v>0.35</v>
      </c>
      <c r="G145" s="223">
        <f t="shared" si="234"/>
        <v>0.17499999999999999</v>
      </c>
      <c r="H145" s="223">
        <f t="shared" si="235"/>
        <v>1.75</v>
      </c>
      <c r="I145" s="223">
        <f t="shared" si="236"/>
        <v>0.5774999999999999</v>
      </c>
      <c r="J145" s="559">
        <f t="shared" si="171"/>
        <v>12</v>
      </c>
      <c r="K145" s="454">
        <f t="shared" si="172"/>
        <v>15.899999999999999</v>
      </c>
      <c r="L145" s="454">
        <f t="shared" si="173"/>
        <v>27.9</v>
      </c>
      <c r="M145" s="454"/>
      <c r="N145" s="223">
        <f t="shared" si="174"/>
        <v>0.56989247311827951</v>
      </c>
      <c r="O145" s="178">
        <f t="shared" si="237"/>
        <v>3.4707737084647103</v>
      </c>
      <c r="P145" s="178">
        <f t="shared" si="238"/>
        <v>1.5233225806451611</v>
      </c>
      <c r="Q145" s="223">
        <f t="shared" si="175"/>
        <v>0.69415474169294211</v>
      </c>
      <c r="R145" s="223">
        <f t="shared" si="239"/>
        <v>1.0517496086256699</v>
      </c>
      <c r="S145" s="223">
        <f t="shared" si="240"/>
        <v>5</v>
      </c>
      <c r="T145" s="223">
        <f t="shared" si="241"/>
        <v>0.75631551362683436</v>
      </c>
      <c r="U145" s="223">
        <f t="shared" si="179"/>
        <v>1.8907887840670858</v>
      </c>
      <c r="V145" s="223">
        <f t="shared" si="180"/>
        <v>1.4270104030694988</v>
      </c>
      <c r="W145" s="203">
        <f t="shared" si="181"/>
        <v>350</v>
      </c>
      <c r="X145" s="454">
        <f t="shared" si="182"/>
        <v>301.40461902489238</v>
      </c>
      <c r="Z145" s="223">
        <f t="shared" si="183"/>
        <v>0.65130568356374818</v>
      </c>
      <c r="AA145" s="179">
        <f t="shared" si="184"/>
        <v>1.2288786482334872</v>
      </c>
      <c r="AB145" s="179">
        <f t="shared" si="242"/>
        <v>0.31593775579129196</v>
      </c>
      <c r="AC145" s="179"/>
      <c r="AD145" s="179">
        <f t="shared" si="186"/>
        <v>0.5660377358490567</v>
      </c>
      <c r="AE145" s="563">
        <f t="shared" si="243"/>
        <v>1374.0740740740737</v>
      </c>
      <c r="AF145" s="546">
        <f t="shared" si="244"/>
        <v>8.9150943396226423E-2</v>
      </c>
      <c r="AH145" s="179">
        <f t="shared" si="245"/>
        <v>0.66583281184793919</v>
      </c>
      <c r="AI145" s="179">
        <f t="shared" si="246"/>
        <v>0.75631551362683436</v>
      </c>
      <c r="AJ145" s="179">
        <f t="shared" si="247"/>
        <v>1.5380114915754328</v>
      </c>
      <c r="AL145" s="563">
        <f t="shared" si="248"/>
        <v>350</v>
      </c>
      <c r="AM145" s="472">
        <f t="shared" si="249"/>
        <v>301.40461902489238</v>
      </c>
      <c r="AO145" s="472">
        <f t="shared" si="194"/>
        <v>350</v>
      </c>
      <c r="AP145" s="472">
        <f t="shared" si="195"/>
        <v>301.40461902489238</v>
      </c>
      <c r="AR145" s="6">
        <f t="shared" si="233"/>
        <v>3.3177991871365848</v>
      </c>
      <c r="AS145" s="6">
        <f t="shared" si="230"/>
        <v>1.8907887840670858</v>
      </c>
      <c r="AT145" s="6">
        <f t="shared" si="231"/>
        <v>1.427010403069499</v>
      </c>
      <c r="AU145" s="179">
        <f t="shared" si="232"/>
        <v>0.56989247311827951</v>
      </c>
      <c r="AW145" s="6">
        <f t="shared" si="199"/>
        <v>13.235521488469599</v>
      </c>
      <c r="AX145" s="6">
        <f t="shared" si="200"/>
        <v>10.026910218537575</v>
      </c>
      <c r="AY145" s="6">
        <f t="shared" si="201"/>
        <v>0.19269044794534126</v>
      </c>
      <c r="AZ145" s="6"/>
      <c r="BA145" s="179">
        <f t="shared" si="202"/>
        <v>0.32963919276284009</v>
      </c>
      <c r="BB145" s="179">
        <f t="shared" si="203"/>
        <v>0.85911669277801572</v>
      </c>
      <c r="BC145" s="179">
        <f t="shared" si="204"/>
        <v>0.41738752657465261</v>
      </c>
      <c r="BD145" s="179"/>
      <c r="BE145" s="546">
        <f t="shared" si="205"/>
        <v>3.803169909186789E-2</v>
      </c>
      <c r="BF145" s="546">
        <f t="shared" si="206"/>
        <v>4.7699999999999985E-2</v>
      </c>
      <c r="BG145" s="546">
        <f t="shared" si="207"/>
        <v>3.767557737811155E-3</v>
      </c>
      <c r="BH145" s="546">
        <f t="shared" si="208"/>
        <v>1.1730818474758323E-2</v>
      </c>
      <c r="BI145">
        <f t="shared" si="209"/>
        <v>3.48E-3</v>
      </c>
      <c r="BK145" s="472">
        <f t="shared" si="210"/>
        <v>104.71007530443734</v>
      </c>
      <c r="BL145" s="179">
        <f t="shared" si="211"/>
        <v>0.13999999999999999</v>
      </c>
      <c r="BM145" s="179">
        <f t="shared" si="212"/>
        <v>6.9999999999999993E-2</v>
      </c>
      <c r="BN145" s="546"/>
      <c r="BP145" s="472">
        <f t="shared" si="213"/>
        <v>209.99999999999997</v>
      </c>
      <c r="BQ145" s="546">
        <f t="shared" si="214"/>
        <v>2.1732399481067369E-2</v>
      </c>
      <c r="BR145" s="546">
        <f t="shared" si="215"/>
        <v>2.9523259672393415E-2</v>
      </c>
      <c r="BS145" s="546">
        <f t="shared" si="216"/>
        <v>1.7421234734010634E-2</v>
      </c>
      <c r="BT145" s="546">
        <f t="shared" si="217"/>
        <v>3.9228552675452819E-2</v>
      </c>
      <c r="BU145" s="546"/>
      <c r="BV145" s="655">
        <f t="shared" si="250"/>
        <v>1.7240740740740744E-2</v>
      </c>
      <c r="BW145" s="472">
        <f t="shared" si="219"/>
        <v>125.14618730366497</v>
      </c>
      <c r="BX145" s="179">
        <f t="shared" si="220"/>
        <v>0.43985626260810234</v>
      </c>
      <c r="BY145" s="6">
        <f t="shared" si="221"/>
        <v>2.3274999999999997</v>
      </c>
      <c r="BZ145" s="179">
        <f t="shared" si="222"/>
        <v>0.8410554258765518</v>
      </c>
      <c r="CA145" s="6">
        <f t="shared" si="223"/>
        <v>84.105542587655179</v>
      </c>
      <c r="CB145">
        <f t="shared" si="224"/>
        <v>35</v>
      </c>
      <c r="CD145" s="581">
        <f t="shared" si="251"/>
        <v>-50</v>
      </c>
      <c r="CE145">
        <f t="shared" si="252"/>
        <v>-50</v>
      </c>
    </row>
    <row r="146" spans="5:83" x14ac:dyDescent="0.2">
      <c r="E146" s="176">
        <v>36</v>
      </c>
      <c r="F146" s="223">
        <f t="shared" si="253"/>
        <v>0.36</v>
      </c>
      <c r="G146" s="223">
        <f t="shared" si="234"/>
        <v>0.18</v>
      </c>
      <c r="H146" s="223">
        <f t="shared" si="235"/>
        <v>1.7999999999999998</v>
      </c>
      <c r="I146" s="223">
        <f t="shared" si="236"/>
        <v>0.59399999999999997</v>
      </c>
      <c r="J146" s="559">
        <f t="shared" si="171"/>
        <v>12</v>
      </c>
      <c r="K146" s="454">
        <f t="shared" si="172"/>
        <v>15.899999999999999</v>
      </c>
      <c r="L146" s="454">
        <f t="shared" si="173"/>
        <v>27.9</v>
      </c>
      <c r="M146" s="454"/>
      <c r="N146" s="223">
        <f t="shared" si="174"/>
        <v>0.56989247311827951</v>
      </c>
      <c r="O146" s="178">
        <f t="shared" si="237"/>
        <v>3.4707737084647103</v>
      </c>
      <c r="P146" s="178">
        <f t="shared" si="238"/>
        <v>1.5233225806451611</v>
      </c>
      <c r="Q146" s="223">
        <f t="shared" si="175"/>
        <v>0.69415474169294211</v>
      </c>
      <c r="R146" s="223">
        <f t="shared" si="239"/>
        <v>1.0517496086256699</v>
      </c>
      <c r="S146" s="223">
        <f t="shared" si="240"/>
        <v>5</v>
      </c>
      <c r="T146" s="223">
        <f t="shared" si="241"/>
        <v>0.77792452830188674</v>
      </c>
      <c r="U146" s="223">
        <f t="shared" si="179"/>
        <v>1.9448113207547169</v>
      </c>
      <c r="V146" s="223">
        <f t="shared" si="180"/>
        <v>1.4677821288714845</v>
      </c>
      <c r="W146" s="203">
        <f t="shared" si="181"/>
        <v>350</v>
      </c>
      <c r="X146" s="454">
        <f t="shared" si="182"/>
        <v>293.03226849642317</v>
      </c>
      <c r="Z146" s="223">
        <f t="shared" si="183"/>
        <v>0.65130568356374818</v>
      </c>
      <c r="AA146" s="179">
        <f t="shared" si="184"/>
        <v>1.2288786482334872</v>
      </c>
      <c r="AB146" s="179">
        <f t="shared" si="242"/>
        <v>0.31593775579129196</v>
      </c>
      <c r="AC146" s="179"/>
      <c r="AD146" s="179">
        <f t="shared" si="186"/>
        <v>0.5660377358490567</v>
      </c>
      <c r="AE146" s="563">
        <f t="shared" si="243"/>
        <v>1413.333333333333</v>
      </c>
      <c r="AF146" s="546">
        <f t="shared" si="244"/>
        <v>8.9150943396226423E-2</v>
      </c>
      <c r="AH146" s="179">
        <f t="shared" si="245"/>
        <v>0.67527772064536529</v>
      </c>
      <c r="AI146" s="179">
        <f t="shared" si="246"/>
        <v>0.77792452830188674</v>
      </c>
      <c r="AJ146" s="179">
        <f t="shared" si="247"/>
        <v>1.5540181691125086</v>
      </c>
      <c r="AL146" s="563">
        <f t="shared" si="248"/>
        <v>360</v>
      </c>
      <c r="AM146" s="472">
        <f t="shared" si="249"/>
        <v>293.03226849642317</v>
      </c>
      <c r="AO146" s="472">
        <f t="shared" si="194"/>
        <v>360</v>
      </c>
      <c r="AP146" s="472">
        <f t="shared" si="195"/>
        <v>293.03226849642317</v>
      </c>
      <c r="AR146" s="6">
        <f t="shared" si="233"/>
        <v>3.4125934496262014</v>
      </c>
      <c r="AS146" s="6">
        <f t="shared" si="230"/>
        <v>1.9448113207547169</v>
      </c>
      <c r="AT146" s="6">
        <f t="shared" si="231"/>
        <v>1.4677821288714845</v>
      </c>
      <c r="AU146" s="179">
        <f t="shared" si="232"/>
        <v>0.56989247311827951</v>
      </c>
      <c r="AW146" s="6">
        <f t="shared" si="199"/>
        <v>14.002641509433962</v>
      </c>
      <c r="AX146" s="6">
        <f t="shared" si="200"/>
        <v>10.608061749571183</v>
      </c>
      <c r="AY146" s="6">
        <f t="shared" si="201"/>
        <v>0.20385862900992838</v>
      </c>
      <c r="AZ146" s="6"/>
      <c r="BA146" s="179">
        <f t="shared" si="202"/>
        <v>0.33905745541320692</v>
      </c>
      <c r="BB146" s="179">
        <f t="shared" si="203"/>
        <v>0.88366288400024462</v>
      </c>
      <c r="BC146" s="179">
        <f t="shared" si="204"/>
        <v>0.42931288447678556</v>
      </c>
      <c r="BD146" s="179"/>
      <c r="BE146" s="546">
        <f t="shared" si="205"/>
        <v>4.0235985324947578E-2</v>
      </c>
      <c r="BF146" s="546">
        <f t="shared" si="206"/>
        <v>4.7699999999999985E-2</v>
      </c>
      <c r="BG146" s="546">
        <f t="shared" si="207"/>
        <v>3.6629033562052896E-3</v>
      </c>
      <c r="BH146" s="546">
        <f t="shared" si="208"/>
        <v>1.1404962406015037E-2</v>
      </c>
      <c r="BI146">
        <f t="shared" si="209"/>
        <v>3.48E-3</v>
      </c>
      <c r="BK146" s="472">
        <f t="shared" si="210"/>
        <v>106.48385108716788</v>
      </c>
      <c r="BL146" s="179">
        <f t="shared" si="211"/>
        <v>0.14399999999999999</v>
      </c>
      <c r="BM146" s="179">
        <f t="shared" si="212"/>
        <v>7.1999999999999995E-2</v>
      </c>
      <c r="BN146" s="546"/>
      <c r="BP146" s="472">
        <f t="shared" si="213"/>
        <v>215.99999999999997</v>
      </c>
      <c r="BQ146" s="546">
        <f t="shared" si="214"/>
        <v>2.2991991614255761E-2</v>
      </c>
      <c r="BR146" s="546">
        <f t="shared" si="215"/>
        <v>3.1234403702385189E-2</v>
      </c>
      <c r="BS146" s="546">
        <f t="shared" si="216"/>
        <v>1.8430955277777782E-2</v>
      </c>
      <c r="BT146" s="546">
        <f t="shared" si="217"/>
        <v>3.9228552675452812E-2</v>
      </c>
      <c r="BU146" s="546"/>
      <c r="BV146" s="655">
        <f t="shared" si="250"/>
        <v>1.7733333333333334E-2</v>
      </c>
      <c r="BW146" s="472">
        <f t="shared" si="219"/>
        <v>129.61923660320488</v>
      </c>
      <c r="BX146" s="179">
        <f t="shared" si="220"/>
        <v>0.45210308769037272</v>
      </c>
      <c r="BY146" s="6">
        <f t="shared" si="221"/>
        <v>2.3939999999999997</v>
      </c>
      <c r="BZ146" s="179">
        <f t="shared" si="222"/>
        <v>0.84115013625270441</v>
      </c>
      <c r="CA146" s="6">
        <f t="shared" si="223"/>
        <v>84.115013625270436</v>
      </c>
      <c r="CB146">
        <f t="shared" si="224"/>
        <v>36</v>
      </c>
      <c r="CD146" s="581">
        <f t="shared" si="251"/>
        <v>-50</v>
      </c>
      <c r="CE146">
        <f t="shared" si="252"/>
        <v>-50</v>
      </c>
    </row>
    <row r="147" spans="5:83" x14ac:dyDescent="0.2">
      <c r="E147" s="176">
        <v>37</v>
      </c>
      <c r="F147" s="223">
        <f t="shared" si="253"/>
        <v>0.37</v>
      </c>
      <c r="G147" s="223">
        <f t="shared" si="234"/>
        <v>0.185</v>
      </c>
      <c r="H147" s="223">
        <f t="shared" si="235"/>
        <v>1.85</v>
      </c>
      <c r="I147" s="223">
        <f t="shared" si="236"/>
        <v>0.61049999999999993</v>
      </c>
      <c r="J147" s="559">
        <f t="shared" si="171"/>
        <v>12</v>
      </c>
      <c r="K147" s="454">
        <f t="shared" si="172"/>
        <v>15.899999999999999</v>
      </c>
      <c r="L147" s="454">
        <f t="shared" si="173"/>
        <v>27.9</v>
      </c>
      <c r="M147" s="454"/>
      <c r="N147" s="223">
        <f t="shared" si="174"/>
        <v>0.56989247311827951</v>
      </c>
      <c r="O147" s="178">
        <f t="shared" si="237"/>
        <v>3.4707737084647103</v>
      </c>
      <c r="P147" s="178">
        <f t="shared" si="238"/>
        <v>1.5233225806451611</v>
      </c>
      <c r="Q147" s="223">
        <f t="shared" si="175"/>
        <v>0.69415474169294211</v>
      </c>
      <c r="R147" s="223">
        <f t="shared" si="239"/>
        <v>1.0517496086256699</v>
      </c>
      <c r="S147" s="223">
        <f t="shared" si="240"/>
        <v>5</v>
      </c>
      <c r="T147" s="223">
        <f t="shared" si="241"/>
        <v>0.79953354297693935</v>
      </c>
      <c r="U147" s="223">
        <f t="shared" si="179"/>
        <v>1.9988338574423488</v>
      </c>
      <c r="V147" s="223">
        <f t="shared" si="180"/>
        <v>1.5085538546734707</v>
      </c>
      <c r="W147" s="203">
        <f t="shared" si="181"/>
        <v>350</v>
      </c>
      <c r="X147" s="454">
        <f t="shared" si="182"/>
        <v>285.11247745597922</v>
      </c>
      <c r="Z147" s="223">
        <f t="shared" si="183"/>
        <v>0.65130568356374818</v>
      </c>
      <c r="AA147" s="179">
        <f t="shared" si="184"/>
        <v>1.2288786482334872</v>
      </c>
      <c r="AB147" s="179">
        <f t="shared" si="242"/>
        <v>0.31593775579129196</v>
      </c>
      <c r="AC147" s="179"/>
      <c r="AD147" s="179">
        <f t="shared" si="186"/>
        <v>0.5660377358490567</v>
      </c>
      <c r="AE147" s="563">
        <f t="shared" si="243"/>
        <v>1452.5925925925924</v>
      </c>
      <c r="AF147" s="546">
        <f t="shared" si="244"/>
        <v>8.9150943396226423E-2</v>
      </c>
      <c r="AH147" s="179">
        <f t="shared" si="245"/>
        <v>0.68459233611446946</v>
      </c>
      <c r="AI147" s="179">
        <f t="shared" si="246"/>
        <v>0.79953354297693935</v>
      </c>
      <c r="AJ147" s="179">
        <f t="shared" si="247"/>
        <v>1.5700248466495847</v>
      </c>
      <c r="AL147" s="563">
        <f t="shared" si="248"/>
        <v>370</v>
      </c>
      <c r="AM147" s="472">
        <f t="shared" si="249"/>
        <v>285.11247745597922</v>
      </c>
      <c r="AO147" s="472">
        <f t="shared" si="194"/>
        <v>370</v>
      </c>
      <c r="AP147" s="472">
        <f t="shared" si="195"/>
        <v>285.11247745597922</v>
      </c>
      <c r="AR147" s="6">
        <f t="shared" si="233"/>
        <v>3.5073877121158192</v>
      </c>
      <c r="AS147" s="6">
        <f t="shared" si="230"/>
        <v>1.9988338574423488</v>
      </c>
      <c r="AT147" s="6">
        <f t="shared" si="231"/>
        <v>1.5085538546734705</v>
      </c>
      <c r="AU147" s="179">
        <f t="shared" si="232"/>
        <v>0.56989247311827962</v>
      </c>
      <c r="AW147" s="6">
        <f t="shared" si="199"/>
        <v>14.791370545073381</v>
      </c>
      <c r="AX147" s="6">
        <f t="shared" si="200"/>
        <v>11.205583746267713</v>
      </c>
      <c r="AY147" s="6">
        <f t="shared" si="201"/>
        <v>0.21534140672422225</v>
      </c>
      <c r="AZ147" s="6"/>
      <c r="BA147" s="179">
        <f t="shared" si="202"/>
        <v>0.34847571806357391</v>
      </c>
      <c r="BB147" s="179">
        <f t="shared" si="203"/>
        <v>0.90820907522247374</v>
      </c>
      <c r="BC147" s="179">
        <f t="shared" si="204"/>
        <v>0.44123824237891845</v>
      </c>
      <c r="BD147" s="179"/>
      <c r="BE147" s="546">
        <f t="shared" si="205"/>
        <v>4.2502364127973209E-2</v>
      </c>
      <c r="BF147" s="546">
        <f t="shared" si="206"/>
        <v>4.7699999999999985E-2</v>
      </c>
      <c r="BG147" s="546">
        <f t="shared" si="207"/>
        <v>3.56390596819974E-3</v>
      </c>
      <c r="BH147" s="546">
        <f t="shared" si="208"/>
        <v>1.109672017882544E-2</v>
      </c>
      <c r="BI147">
        <f t="shared" si="209"/>
        <v>3.48E-3</v>
      </c>
      <c r="BK147" s="472">
        <f t="shared" si="210"/>
        <v>108.34299027499837</v>
      </c>
      <c r="BL147" s="179">
        <f t="shared" si="211"/>
        <v>0.14799999999999999</v>
      </c>
      <c r="BM147" s="179">
        <f t="shared" si="212"/>
        <v>7.3999999999999996E-2</v>
      </c>
      <c r="BN147" s="546"/>
      <c r="BP147" s="472">
        <f t="shared" si="213"/>
        <v>221.99999999999997</v>
      </c>
      <c r="BQ147" s="546">
        <f t="shared" si="214"/>
        <v>2.4287065215984692E-2</v>
      </c>
      <c r="BR147" s="546">
        <f t="shared" si="215"/>
        <v>3.2993748972658436E-2</v>
      </c>
      <c r="BS147" s="546">
        <f t="shared" si="216"/>
        <v>1.9469118653763721E-2</v>
      </c>
      <c r="BT147" s="546">
        <f t="shared" si="217"/>
        <v>3.9228552675452832E-2</v>
      </c>
      <c r="BU147" s="546"/>
      <c r="BV147" s="655">
        <f t="shared" si="250"/>
        <v>1.822592592592593E-2</v>
      </c>
      <c r="BW147" s="472">
        <f t="shared" si="219"/>
        <v>134.2044114437856</v>
      </c>
      <c r="BX147" s="179">
        <f t="shared" si="220"/>
        <v>0.46454740171878395</v>
      </c>
      <c r="BY147" s="6">
        <f t="shared" si="221"/>
        <v>2.4605000000000001</v>
      </c>
      <c r="BZ147" s="179">
        <f t="shared" si="222"/>
        <v>0.84118294922475045</v>
      </c>
      <c r="CA147" s="6">
        <f t="shared" si="223"/>
        <v>84.118294922475044</v>
      </c>
      <c r="CB147">
        <f t="shared" si="224"/>
        <v>37</v>
      </c>
      <c r="CD147" s="581">
        <f t="shared" si="251"/>
        <v>-50</v>
      </c>
      <c r="CE147">
        <f t="shared" si="252"/>
        <v>-50</v>
      </c>
    </row>
    <row r="148" spans="5:83" x14ac:dyDescent="0.2">
      <c r="E148" s="176">
        <v>38</v>
      </c>
      <c r="F148" s="223">
        <f t="shared" si="253"/>
        <v>0.38</v>
      </c>
      <c r="G148" s="223">
        <f t="shared" si="234"/>
        <v>0.19</v>
      </c>
      <c r="H148" s="223">
        <f t="shared" si="235"/>
        <v>1.9</v>
      </c>
      <c r="I148" s="223">
        <f t="shared" si="236"/>
        <v>0.627</v>
      </c>
      <c r="J148" s="559">
        <f t="shared" si="171"/>
        <v>12</v>
      </c>
      <c r="K148" s="454">
        <f t="shared" si="172"/>
        <v>15.899999999999999</v>
      </c>
      <c r="L148" s="454">
        <f t="shared" si="173"/>
        <v>27.9</v>
      </c>
      <c r="M148" s="454"/>
      <c r="N148" s="223">
        <f t="shared" si="174"/>
        <v>0.56989247311827951</v>
      </c>
      <c r="O148" s="178">
        <f t="shared" si="237"/>
        <v>3.4707737084647103</v>
      </c>
      <c r="P148" s="178">
        <f t="shared" si="238"/>
        <v>1.5233225806451611</v>
      </c>
      <c r="Q148" s="223">
        <f t="shared" si="175"/>
        <v>0.69415474169294211</v>
      </c>
      <c r="R148" s="223">
        <f t="shared" si="239"/>
        <v>1.0517496086256699</v>
      </c>
      <c r="S148" s="223">
        <f t="shared" si="240"/>
        <v>5</v>
      </c>
      <c r="T148" s="223">
        <f t="shared" si="241"/>
        <v>0.82114255765199173</v>
      </c>
      <c r="U148" s="223">
        <f t="shared" si="179"/>
        <v>2.0528563941299796</v>
      </c>
      <c r="V148" s="223">
        <f t="shared" si="180"/>
        <v>1.5493255804754562</v>
      </c>
      <c r="W148" s="203">
        <f t="shared" si="181"/>
        <v>350</v>
      </c>
      <c r="X148" s="454">
        <f t="shared" si="182"/>
        <v>277.60951752292709</v>
      </c>
      <c r="Z148" s="223">
        <f t="shared" si="183"/>
        <v>0.65130568356374818</v>
      </c>
      <c r="AA148" s="179">
        <f t="shared" si="184"/>
        <v>1.2288786482334872</v>
      </c>
      <c r="AB148" s="179">
        <f t="shared" si="242"/>
        <v>0.31593775579129196</v>
      </c>
      <c r="AC148" s="179"/>
      <c r="AD148" s="179">
        <f t="shared" si="186"/>
        <v>0.5660377358490567</v>
      </c>
      <c r="AE148" s="563">
        <f t="shared" si="243"/>
        <v>1491.8518518518517</v>
      </c>
      <c r="AF148" s="546">
        <f t="shared" si="244"/>
        <v>8.9150943396226423E-2</v>
      </c>
      <c r="AH148" s="179">
        <f t="shared" si="245"/>
        <v>0.69378190617321045</v>
      </c>
      <c r="AI148" s="179">
        <f t="shared" si="246"/>
        <v>0.82114255765199173</v>
      </c>
      <c r="AJ148" s="179">
        <f t="shared" si="247"/>
        <v>1.5860315241866605</v>
      </c>
      <c r="AL148" s="563">
        <f t="shared" si="248"/>
        <v>380</v>
      </c>
      <c r="AM148" s="472">
        <f t="shared" si="249"/>
        <v>277.60951752292709</v>
      </c>
      <c r="AO148" s="472">
        <f t="shared" si="194"/>
        <v>380</v>
      </c>
      <c r="AP148" s="472">
        <f t="shared" si="195"/>
        <v>277.60951752292709</v>
      </c>
      <c r="AR148" s="6">
        <f t="shared" si="233"/>
        <v>3.6021819746054362</v>
      </c>
      <c r="AS148" s="6">
        <f t="shared" si="230"/>
        <v>2.0528563941299796</v>
      </c>
      <c r="AT148" s="6">
        <f t="shared" si="231"/>
        <v>1.5493255804754567</v>
      </c>
      <c r="AU148" s="179">
        <f t="shared" si="232"/>
        <v>0.56989247311827951</v>
      </c>
      <c r="AW148" s="6">
        <f t="shared" si="199"/>
        <v>15.601708595387844</v>
      </c>
      <c r="AX148" s="6">
        <f t="shared" si="200"/>
        <v>11.819476208627155</v>
      </c>
      <c r="AY148" s="6">
        <f t="shared" si="201"/>
        <v>0.22713878108822277</v>
      </c>
      <c r="AZ148" s="6"/>
      <c r="BA148" s="179">
        <f t="shared" si="202"/>
        <v>0.35789398071394074</v>
      </c>
      <c r="BB148" s="179">
        <f t="shared" si="203"/>
        <v>0.93275526644470286</v>
      </c>
      <c r="BC148" s="179">
        <f t="shared" si="204"/>
        <v>0.45316360028105146</v>
      </c>
      <c r="BD148" s="179"/>
      <c r="BE148" s="546">
        <f t="shared" si="205"/>
        <v>4.4830835500944702E-2</v>
      </c>
      <c r="BF148" s="546">
        <f t="shared" si="206"/>
        <v>4.7699999999999979E-2</v>
      </c>
      <c r="BG148" s="546">
        <f t="shared" si="207"/>
        <v>3.4701189690365887E-3</v>
      </c>
      <c r="BH148" s="546">
        <f t="shared" si="208"/>
        <v>1.0804701226751083E-2</v>
      </c>
      <c r="BI148">
        <f t="shared" si="209"/>
        <v>3.48E-3</v>
      </c>
      <c r="BK148" s="472">
        <f t="shared" si="210"/>
        <v>110.28565569673236</v>
      </c>
      <c r="BL148" s="179">
        <f t="shared" si="211"/>
        <v>0.15200000000000002</v>
      </c>
      <c r="BM148" s="179">
        <f t="shared" si="212"/>
        <v>7.6000000000000012E-2</v>
      </c>
      <c r="BN148" s="546"/>
      <c r="BP148" s="472">
        <f t="shared" si="213"/>
        <v>228.00000000000003</v>
      </c>
      <c r="BQ148" s="546">
        <f t="shared" si="214"/>
        <v>2.5617620286254118E-2</v>
      </c>
      <c r="BR148" s="546">
        <f t="shared" si="215"/>
        <v>3.4801295483213146E-2</v>
      </c>
      <c r="BS148" s="546">
        <f t="shared" si="216"/>
        <v>2.053572486196846E-2</v>
      </c>
      <c r="BT148" s="546">
        <f t="shared" si="217"/>
        <v>3.9228552675452749E-2</v>
      </c>
      <c r="BU148" s="546"/>
      <c r="BV148" s="655">
        <f t="shared" si="250"/>
        <v>1.871851851851852E-2</v>
      </c>
      <c r="BW148" s="472">
        <f t="shared" si="219"/>
        <v>138.90171182540701</v>
      </c>
      <c r="BX148" s="179">
        <f t="shared" si="220"/>
        <v>0.47718736752213947</v>
      </c>
      <c r="BY148" s="6">
        <f t="shared" si="221"/>
        <v>2.5270000000000001</v>
      </c>
      <c r="BZ148" s="179">
        <f t="shared" si="222"/>
        <v>0.8411592523552468</v>
      </c>
      <c r="CA148" s="6">
        <f t="shared" si="223"/>
        <v>84.115925235524685</v>
      </c>
      <c r="CB148">
        <f t="shared" si="224"/>
        <v>38</v>
      </c>
      <c r="CD148" s="581">
        <f t="shared" si="251"/>
        <v>-50</v>
      </c>
      <c r="CE148">
        <f t="shared" si="252"/>
        <v>-50</v>
      </c>
    </row>
    <row r="149" spans="5:83" x14ac:dyDescent="0.2">
      <c r="E149" s="176">
        <v>39</v>
      </c>
      <c r="F149" s="223">
        <f t="shared" si="253"/>
        <v>0.39</v>
      </c>
      <c r="G149" s="223">
        <f t="shared" si="234"/>
        <v>0.19500000000000001</v>
      </c>
      <c r="H149" s="223">
        <f t="shared" si="235"/>
        <v>1.9500000000000002</v>
      </c>
      <c r="I149" s="223">
        <f t="shared" si="236"/>
        <v>0.64349999999999996</v>
      </c>
      <c r="J149" s="559">
        <f t="shared" si="171"/>
        <v>12</v>
      </c>
      <c r="K149" s="454">
        <f t="shared" si="172"/>
        <v>15.899999999999999</v>
      </c>
      <c r="L149" s="454">
        <f t="shared" si="173"/>
        <v>27.9</v>
      </c>
      <c r="M149" s="454"/>
      <c r="N149" s="223">
        <f t="shared" si="174"/>
        <v>0.56989247311827951</v>
      </c>
      <c r="O149" s="178">
        <f t="shared" si="237"/>
        <v>3.4707737084647103</v>
      </c>
      <c r="P149" s="178">
        <f t="shared" si="238"/>
        <v>1.5233225806451611</v>
      </c>
      <c r="Q149" s="223">
        <f t="shared" si="175"/>
        <v>0.69415474169294211</v>
      </c>
      <c r="R149" s="223">
        <f t="shared" si="239"/>
        <v>1.0517496086256699</v>
      </c>
      <c r="S149" s="223">
        <f t="shared" si="240"/>
        <v>5</v>
      </c>
      <c r="T149" s="223">
        <f t="shared" si="241"/>
        <v>0.84275157232704412</v>
      </c>
      <c r="U149" s="223">
        <f t="shared" si="179"/>
        <v>2.1068789308176106</v>
      </c>
      <c r="V149" s="223">
        <f t="shared" si="180"/>
        <v>1.5900973062774419</v>
      </c>
      <c r="W149" s="203">
        <f t="shared" si="181"/>
        <v>350</v>
      </c>
      <c r="X149" s="454">
        <f t="shared" si="182"/>
        <v>270.49132476592899</v>
      </c>
      <c r="Z149" s="223">
        <f t="shared" si="183"/>
        <v>0.65130568356374818</v>
      </c>
      <c r="AA149" s="179">
        <f t="shared" si="184"/>
        <v>1.2288786482334872</v>
      </c>
      <c r="AB149" s="179">
        <f t="shared" si="242"/>
        <v>0.31593775579129196</v>
      </c>
      <c r="AC149" s="179"/>
      <c r="AD149" s="179">
        <f t="shared" si="186"/>
        <v>0.5660377358490567</v>
      </c>
      <c r="AE149" s="563">
        <f t="shared" si="243"/>
        <v>1531.1111111111109</v>
      </c>
      <c r="AF149" s="546">
        <f t="shared" si="244"/>
        <v>8.9150943396226423E-2</v>
      </c>
      <c r="AH149" s="179">
        <f t="shared" si="245"/>
        <v>0.70285133563222324</v>
      </c>
      <c r="AI149" s="179">
        <f t="shared" si="246"/>
        <v>0.84275157232704412</v>
      </c>
      <c r="AJ149" s="179">
        <f t="shared" si="247"/>
        <v>1.6020382017237365</v>
      </c>
      <c r="AL149" s="563">
        <f t="shared" si="248"/>
        <v>390</v>
      </c>
      <c r="AM149" s="472">
        <f t="shared" si="249"/>
        <v>270.49132476592899</v>
      </c>
      <c r="AO149" s="472">
        <f t="shared" si="194"/>
        <v>390</v>
      </c>
      <c r="AP149" s="472">
        <f t="shared" si="195"/>
        <v>270.49132476592899</v>
      </c>
      <c r="AR149" s="6">
        <f t="shared" si="233"/>
        <v>3.6969762370950527</v>
      </c>
      <c r="AS149" s="6">
        <f t="shared" si="230"/>
        <v>2.1068789308176106</v>
      </c>
      <c r="AT149" s="6">
        <f t="shared" si="231"/>
        <v>1.5900973062774422</v>
      </c>
      <c r="AU149" s="179">
        <f t="shared" si="232"/>
        <v>0.56989247311827951</v>
      </c>
      <c r="AW149" s="6">
        <f t="shared" si="199"/>
        <v>16.433655660377362</v>
      </c>
      <c r="AX149" s="6">
        <f t="shared" si="200"/>
        <v>12.449739136649516</v>
      </c>
      <c r="AY149" s="6">
        <f t="shared" si="201"/>
        <v>0.23925075210192992</v>
      </c>
      <c r="AZ149" s="6"/>
      <c r="BA149" s="179">
        <f t="shared" si="202"/>
        <v>0.36731224336430757</v>
      </c>
      <c r="BB149" s="179">
        <f t="shared" si="203"/>
        <v>0.95730145766693187</v>
      </c>
      <c r="BC149" s="179">
        <f t="shared" si="204"/>
        <v>0.46508895818318441</v>
      </c>
      <c r="BD149" s="179"/>
      <c r="BE149" s="546">
        <f t="shared" si="205"/>
        <v>4.7221399443862104E-2</v>
      </c>
      <c r="BF149" s="546">
        <f t="shared" si="206"/>
        <v>4.7699999999999979E-2</v>
      </c>
      <c r="BG149" s="546">
        <f t="shared" si="207"/>
        <v>3.3811415595741126E-3</v>
      </c>
      <c r="BH149" s="546">
        <f t="shared" si="208"/>
        <v>1.052765760555234E-2</v>
      </c>
      <c r="BI149">
        <f t="shared" si="209"/>
        <v>3.48E-3</v>
      </c>
      <c r="BK149" s="472">
        <f t="shared" si="210"/>
        <v>112.31019860898853</v>
      </c>
      <c r="BL149" s="179">
        <f t="shared" si="211"/>
        <v>0.15600000000000003</v>
      </c>
      <c r="BM149" s="179">
        <f t="shared" si="212"/>
        <v>7.8000000000000014E-2</v>
      </c>
      <c r="BN149" s="546"/>
      <c r="BP149" s="472">
        <f t="shared" si="213"/>
        <v>234.00000000000003</v>
      </c>
      <c r="BQ149" s="546">
        <f t="shared" si="214"/>
        <v>2.6983656825064064E-2</v>
      </c>
      <c r="BR149" s="546">
        <f t="shared" si="215"/>
        <v>3.6657043234049301E-2</v>
      </c>
      <c r="BS149" s="546">
        <f t="shared" si="216"/>
        <v>2.1630773902391986E-2</v>
      </c>
      <c r="BT149" s="546">
        <f t="shared" si="217"/>
        <v>3.9228552675452881E-2</v>
      </c>
      <c r="BU149" s="546"/>
      <c r="BV149" s="655">
        <f t="shared" si="250"/>
        <v>1.9211111111111113E-2</v>
      </c>
      <c r="BW149" s="472">
        <f t="shared" si="219"/>
        <v>143.71113774806935</v>
      </c>
      <c r="BX149" s="179">
        <f t="shared" si="220"/>
        <v>0.49002133635705786</v>
      </c>
      <c r="BY149" s="6">
        <f t="shared" si="221"/>
        <v>2.5935000000000001</v>
      </c>
      <c r="BZ149" s="179">
        <f t="shared" si="222"/>
        <v>0.84108385092740101</v>
      </c>
      <c r="CA149" s="6">
        <f t="shared" si="223"/>
        <v>84.108385092740107</v>
      </c>
      <c r="CB149">
        <f t="shared" si="224"/>
        <v>39</v>
      </c>
      <c r="CD149" s="581">
        <f t="shared" si="251"/>
        <v>-50</v>
      </c>
      <c r="CE149">
        <f t="shared" si="252"/>
        <v>-50</v>
      </c>
    </row>
    <row r="150" spans="5:83" x14ac:dyDescent="0.2">
      <c r="E150" s="176">
        <v>40</v>
      </c>
      <c r="F150" s="223">
        <f t="shared" si="253"/>
        <v>0.4</v>
      </c>
      <c r="G150" s="223">
        <f t="shared" si="234"/>
        <v>0.2</v>
      </c>
      <c r="H150" s="223">
        <f t="shared" si="235"/>
        <v>2</v>
      </c>
      <c r="I150" s="223">
        <f t="shared" si="236"/>
        <v>0.66</v>
      </c>
      <c r="J150" s="559">
        <f t="shared" si="171"/>
        <v>12</v>
      </c>
      <c r="K150" s="454">
        <f t="shared" si="172"/>
        <v>15.899999999999999</v>
      </c>
      <c r="L150" s="454">
        <f t="shared" si="173"/>
        <v>27.9</v>
      </c>
      <c r="M150" s="454"/>
      <c r="N150" s="223">
        <f t="shared" si="174"/>
        <v>0.56989247311827951</v>
      </c>
      <c r="O150" s="178">
        <f t="shared" si="237"/>
        <v>3.4707737084647103</v>
      </c>
      <c r="P150" s="178">
        <f t="shared" si="238"/>
        <v>1.5233225806451611</v>
      </c>
      <c r="Q150" s="223">
        <f t="shared" si="175"/>
        <v>0.69415474169294211</v>
      </c>
      <c r="R150" s="223">
        <f t="shared" si="239"/>
        <v>1.0517496086256699</v>
      </c>
      <c r="S150" s="223">
        <f t="shared" si="240"/>
        <v>5</v>
      </c>
      <c r="T150" s="223">
        <f t="shared" si="241"/>
        <v>0.8643605870020965</v>
      </c>
      <c r="U150" s="223">
        <f t="shared" si="179"/>
        <v>2.1609014675052416</v>
      </c>
      <c r="V150" s="223">
        <f t="shared" si="180"/>
        <v>1.6308690320794277</v>
      </c>
      <c r="W150" s="203">
        <f t="shared" si="181"/>
        <v>350</v>
      </c>
      <c r="X150" s="454">
        <f t="shared" si="182"/>
        <v>263.72904164678079</v>
      </c>
      <c r="Z150" s="223">
        <f t="shared" si="183"/>
        <v>0.65130568356374818</v>
      </c>
      <c r="AA150" s="179">
        <f t="shared" si="184"/>
        <v>1.2288786482334872</v>
      </c>
      <c r="AB150" s="179">
        <f t="shared" si="242"/>
        <v>0.31593775579129196</v>
      </c>
      <c r="AC150" s="179"/>
      <c r="AD150" s="179">
        <f t="shared" si="186"/>
        <v>0.5660377358490567</v>
      </c>
      <c r="AE150" s="563">
        <f t="shared" si="243"/>
        <v>1570.3703703703702</v>
      </c>
      <c r="AF150" s="546">
        <f t="shared" si="244"/>
        <v>8.9150943396226423E-2</v>
      </c>
      <c r="AH150" s="179">
        <f t="shared" si="245"/>
        <v>0.71180521680208741</v>
      </c>
      <c r="AI150" s="179">
        <f t="shared" si="246"/>
        <v>0.8643605870020965</v>
      </c>
      <c r="AJ150" s="179">
        <f t="shared" si="247"/>
        <v>1.6180448792608122</v>
      </c>
      <c r="AL150" s="563">
        <f t="shared" si="248"/>
        <v>400</v>
      </c>
      <c r="AM150" s="472">
        <f t="shared" si="249"/>
        <v>263.72904164678079</v>
      </c>
      <c r="AO150" s="472">
        <f t="shared" si="194"/>
        <v>400</v>
      </c>
      <c r="AP150" s="472">
        <f t="shared" si="195"/>
        <v>263.72904164678079</v>
      </c>
      <c r="AR150" s="6">
        <f t="shared" si="233"/>
        <v>3.7917704995846693</v>
      </c>
      <c r="AS150" s="6">
        <f t="shared" si="230"/>
        <v>2.1609014675052416</v>
      </c>
      <c r="AT150" s="6">
        <f t="shared" si="231"/>
        <v>1.6308690320794277</v>
      </c>
      <c r="AU150" s="179">
        <f t="shared" si="232"/>
        <v>0.56989247311827951</v>
      </c>
      <c r="AW150" s="6">
        <f t="shared" si="199"/>
        <v>17.287211740041933</v>
      </c>
      <c r="AX150" s="6">
        <f t="shared" si="200"/>
        <v>13.096372530334799</v>
      </c>
      <c r="AY150" s="6">
        <f t="shared" si="201"/>
        <v>0.25167731976534374</v>
      </c>
      <c r="AZ150" s="6"/>
      <c r="BA150" s="179">
        <f t="shared" si="202"/>
        <v>0.37673050601467439</v>
      </c>
      <c r="BB150" s="179">
        <f t="shared" si="203"/>
        <v>0.98184764888916098</v>
      </c>
      <c r="BC150" s="179">
        <f t="shared" si="204"/>
        <v>0.4770143160853173</v>
      </c>
      <c r="BD150" s="179"/>
      <c r="BE150" s="546">
        <f t="shared" si="205"/>
        <v>4.9674055956725409E-2</v>
      </c>
      <c r="BF150" s="546">
        <f t="shared" si="206"/>
        <v>4.7699999999999985E-2</v>
      </c>
      <c r="BG150" s="546">
        <f t="shared" si="207"/>
        <v>3.2966130205847595E-3</v>
      </c>
      <c r="BH150" s="546">
        <f t="shared" si="208"/>
        <v>1.0264466165413532E-2</v>
      </c>
      <c r="BI150">
        <f t="shared" si="209"/>
        <v>3.48E-3</v>
      </c>
      <c r="BK150" s="472">
        <f t="shared" si="210"/>
        <v>114.41513514272368</v>
      </c>
      <c r="BL150" s="179">
        <f t="shared" si="211"/>
        <v>0.16000000000000003</v>
      </c>
      <c r="BM150" s="179">
        <f t="shared" si="212"/>
        <v>8.0000000000000016E-2</v>
      </c>
      <c r="BN150" s="546"/>
      <c r="BP150" s="472">
        <f t="shared" si="213"/>
        <v>240.00000000000006</v>
      </c>
      <c r="BQ150" s="546">
        <f t="shared" si="214"/>
        <v>2.8385174832414525E-2</v>
      </c>
      <c r="BR150" s="546">
        <f t="shared" si="215"/>
        <v>3.8560992225166929E-2</v>
      </c>
      <c r="BS150" s="546">
        <f t="shared" si="216"/>
        <v>2.2754265775034303E-2</v>
      </c>
      <c r="BT150" s="546">
        <f t="shared" si="217"/>
        <v>3.9228552675452819E-2</v>
      </c>
      <c r="BU150" s="546"/>
      <c r="BV150" s="655">
        <f t="shared" si="250"/>
        <v>1.9703703703703706E-2</v>
      </c>
      <c r="BW150" s="472">
        <f t="shared" si="219"/>
        <v>148.63268921177229</v>
      </c>
      <c r="BX150" s="179">
        <f t="shared" si="220"/>
        <v>0.50304782435449602</v>
      </c>
      <c r="BY150" s="6">
        <f t="shared" si="221"/>
        <v>2.66</v>
      </c>
      <c r="BZ150" s="179">
        <f t="shared" si="222"/>
        <v>0.84096104381312775</v>
      </c>
      <c r="CA150" s="6">
        <f t="shared" si="223"/>
        <v>84.09610438131277</v>
      </c>
      <c r="CB150">
        <f t="shared" si="224"/>
        <v>40</v>
      </c>
      <c r="CD150" s="581">
        <f t="shared" si="251"/>
        <v>-50</v>
      </c>
      <c r="CE150">
        <f t="shared" si="252"/>
        <v>-50</v>
      </c>
    </row>
    <row r="151" spans="5:83" x14ac:dyDescent="0.2">
      <c r="E151" s="176">
        <v>41</v>
      </c>
      <c r="F151" s="223">
        <f t="shared" si="253"/>
        <v>0.41</v>
      </c>
      <c r="G151" s="223">
        <f t="shared" si="234"/>
        <v>0.20499999999999999</v>
      </c>
      <c r="H151" s="223">
        <f t="shared" si="235"/>
        <v>2.0499999999999998</v>
      </c>
      <c r="I151" s="223">
        <f t="shared" si="236"/>
        <v>0.67649999999999988</v>
      </c>
      <c r="J151" s="559">
        <f t="shared" si="171"/>
        <v>12</v>
      </c>
      <c r="K151" s="454">
        <f t="shared" si="172"/>
        <v>15.899999999999999</v>
      </c>
      <c r="L151" s="454">
        <f t="shared" si="173"/>
        <v>27.9</v>
      </c>
      <c r="M151" s="454"/>
      <c r="N151" s="223">
        <f t="shared" si="174"/>
        <v>0.56989247311827951</v>
      </c>
      <c r="O151" s="178">
        <f t="shared" si="237"/>
        <v>3.4707737084647103</v>
      </c>
      <c r="P151" s="178">
        <f t="shared" si="238"/>
        <v>1.5233225806451611</v>
      </c>
      <c r="Q151" s="223">
        <f t="shared" si="175"/>
        <v>0.69415474169294211</v>
      </c>
      <c r="R151" s="223">
        <f t="shared" si="239"/>
        <v>1.0517496086256699</v>
      </c>
      <c r="S151" s="223">
        <f t="shared" si="240"/>
        <v>5</v>
      </c>
      <c r="T151" s="223">
        <f t="shared" si="241"/>
        <v>0.88596960167714878</v>
      </c>
      <c r="U151" s="223">
        <f t="shared" si="179"/>
        <v>2.2149240041928722</v>
      </c>
      <c r="V151" s="223">
        <f t="shared" si="180"/>
        <v>1.671640757881413</v>
      </c>
      <c r="W151" s="203">
        <f t="shared" si="181"/>
        <v>350</v>
      </c>
      <c r="X151" s="454">
        <f t="shared" si="182"/>
        <v>257.29662599685929</v>
      </c>
      <c r="Z151" s="223">
        <f t="shared" si="183"/>
        <v>0.65130568356374818</v>
      </c>
      <c r="AA151" s="179">
        <f t="shared" si="184"/>
        <v>1.2288786482334872</v>
      </c>
      <c r="AB151" s="179">
        <f t="shared" si="242"/>
        <v>0.31593775579129196</v>
      </c>
      <c r="AC151" s="179"/>
      <c r="AD151" s="179">
        <f t="shared" si="186"/>
        <v>0.5660377358490567</v>
      </c>
      <c r="AE151" s="563">
        <f t="shared" si="243"/>
        <v>1609.6296296296291</v>
      </c>
      <c r="AF151" s="546">
        <f t="shared" si="244"/>
        <v>8.9150943396226423E-2</v>
      </c>
      <c r="AH151" s="179">
        <f t="shared" si="245"/>
        <v>0.7206478566771245</v>
      </c>
      <c r="AI151" s="179">
        <f t="shared" si="246"/>
        <v>0.88596960167714878</v>
      </c>
      <c r="AJ151" s="179">
        <f t="shared" si="247"/>
        <v>1.6340515567978879</v>
      </c>
      <c r="AL151" s="563">
        <f t="shared" si="248"/>
        <v>410</v>
      </c>
      <c r="AM151" s="472">
        <f t="shared" si="249"/>
        <v>257.29662599685929</v>
      </c>
      <c r="AO151" s="472">
        <f t="shared" si="194"/>
        <v>410</v>
      </c>
      <c r="AP151" s="472">
        <f t="shared" si="195"/>
        <v>257.29662599685929</v>
      </c>
      <c r="AR151" s="6">
        <f t="shared" si="233"/>
        <v>3.8865647620742858</v>
      </c>
      <c r="AS151" s="6">
        <f t="shared" si="230"/>
        <v>2.2149240041928722</v>
      </c>
      <c r="AT151" s="6">
        <f t="shared" si="231"/>
        <v>1.6716407578814136</v>
      </c>
      <c r="AU151" s="179">
        <f t="shared" si="232"/>
        <v>0.56989247311827951</v>
      </c>
      <c r="AW151" s="6">
        <f t="shared" si="199"/>
        <v>18.162376834381551</v>
      </c>
      <c r="AX151" s="6">
        <f t="shared" si="200"/>
        <v>13.759376389682993</v>
      </c>
      <c r="AY151" s="6">
        <f t="shared" si="201"/>
        <v>0.2644184840784643</v>
      </c>
      <c r="AZ151" s="6"/>
      <c r="BA151" s="179">
        <f t="shared" si="202"/>
        <v>0.38614876866504122</v>
      </c>
      <c r="BB151" s="179">
        <f t="shared" si="203"/>
        <v>1.0063938401113897</v>
      </c>
      <c r="BC151" s="179">
        <f t="shared" si="204"/>
        <v>0.48893967398745009</v>
      </c>
      <c r="BD151" s="179"/>
      <c r="BE151" s="546">
        <f t="shared" si="205"/>
        <v>5.218880503953463E-2</v>
      </c>
      <c r="BF151" s="546">
        <f t="shared" si="206"/>
        <v>4.7699999999999979E-2</v>
      </c>
      <c r="BG151" s="546">
        <f t="shared" si="207"/>
        <v>3.2162078249607408E-3</v>
      </c>
      <c r="BH151" s="546">
        <f t="shared" si="208"/>
        <v>1.0014113332110761E-2</v>
      </c>
      <c r="BI151">
        <f t="shared" si="209"/>
        <v>3.48E-3</v>
      </c>
      <c r="BK151" s="472">
        <f t="shared" si="210"/>
        <v>116.59912619660611</v>
      </c>
      <c r="BL151" s="179">
        <f t="shared" si="211"/>
        <v>0.16400000000000001</v>
      </c>
      <c r="BM151" s="179">
        <f t="shared" si="212"/>
        <v>8.2000000000000003E-2</v>
      </c>
      <c r="BN151" s="546"/>
      <c r="BP151" s="472">
        <f t="shared" si="213"/>
        <v>246</v>
      </c>
      <c r="BQ151" s="546">
        <f t="shared" si="214"/>
        <v>2.9822174308305506E-2</v>
      </c>
      <c r="BR151" s="546">
        <f t="shared" si="215"/>
        <v>4.0513142456565968E-2</v>
      </c>
      <c r="BS151" s="546">
        <f t="shared" si="216"/>
        <v>2.39062004798954E-2</v>
      </c>
      <c r="BT151" s="546">
        <f t="shared" si="217"/>
        <v>3.9228552675452819E-2</v>
      </c>
      <c r="BU151" s="546"/>
      <c r="BV151" s="655">
        <f t="shared" si="250"/>
        <v>2.0196296296296289E-2</v>
      </c>
      <c r="BW151" s="472">
        <f t="shared" si="219"/>
        <v>153.666366216516</v>
      </c>
      <c r="BX151" s="179">
        <f t="shared" si="220"/>
        <v>0.51626549241312214</v>
      </c>
      <c r="BY151" s="6">
        <f t="shared" si="221"/>
        <v>2.7264999999999997</v>
      </c>
      <c r="BZ151" s="179">
        <f t="shared" si="222"/>
        <v>0.84079468786102685</v>
      </c>
      <c r="CA151" s="6">
        <f t="shared" si="223"/>
        <v>84.07946878610268</v>
      </c>
      <c r="CB151">
        <f t="shared" si="224"/>
        <v>41</v>
      </c>
      <c r="CD151" s="581">
        <f t="shared" si="251"/>
        <v>-50</v>
      </c>
      <c r="CE151">
        <f t="shared" si="252"/>
        <v>-50</v>
      </c>
    </row>
    <row r="152" spans="5:83" x14ac:dyDescent="0.2">
      <c r="E152" s="176">
        <v>42</v>
      </c>
      <c r="F152" s="223">
        <f t="shared" si="253"/>
        <v>0.42</v>
      </c>
      <c r="G152" s="223">
        <f t="shared" si="234"/>
        <v>0.21</v>
      </c>
      <c r="H152" s="223">
        <f t="shared" si="235"/>
        <v>2.1</v>
      </c>
      <c r="I152" s="223">
        <f t="shared" si="236"/>
        <v>0.69299999999999995</v>
      </c>
      <c r="J152" s="559">
        <f t="shared" si="171"/>
        <v>12</v>
      </c>
      <c r="K152" s="454">
        <f t="shared" si="172"/>
        <v>15.899999999999999</v>
      </c>
      <c r="L152" s="454">
        <f t="shared" si="173"/>
        <v>27.9</v>
      </c>
      <c r="M152" s="454"/>
      <c r="N152" s="223">
        <f t="shared" si="174"/>
        <v>0.56989247311827951</v>
      </c>
      <c r="O152" s="178">
        <f t="shared" si="237"/>
        <v>3.4707737084647103</v>
      </c>
      <c r="P152" s="178">
        <f t="shared" si="238"/>
        <v>1.5233225806451611</v>
      </c>
      <c r="Q152" s="223">
        <f t="shared" si="175"/>
        <v>0.69415474169294211</v>
      </c>
      <c r="R152" s="223">
        <f t="shared" si="239"/>
        <v>1.0517496086256699</v>
      </c>
      <c r="S152" s="223">
        <f t="shared" si="240"/>
        <v>5</v>
      </c>
      <c r="T152" s="223">
        <f t="shared" si="241"/>
        <v>0.90757861635220138</v>
      </c>
      <c r="U152" s="223">
        <f t="shared" si="179"/>
        <v>2.2689465408805032</v>
      </c>
      <c r="V152" s="223">
        <f t="shared" si="180"/>
        <v>1.7124124836833992</v>
      </c>
      <c r="W152" s="203">
        <f t="shared" si="181"/>
        <v>350</v>
      </c>
      <c r="X152" s="454">
        <f t="shared" si="182"/>
        <v>251.17051585407697</v>
      </c>
      <c r="Z152" s="223">
        <f t="shared" si="183"/>
        <v>0.65130568356374818</v>
      </c>
      <c r="AA152" s="179">
        <f t="shared" si="184"/>
        <v>1.2288786482334872</v>
      </c>
      <c r="AB152" s="179">
        <f t="shared" si="242"/>
        <v>0.31593775579129196</v>
      </c>
      <c r="AC152" s="179"/>
      <c r="AD152" s="179">
        <f t="shared" si="186"/>
        <v>0.5660377358490567</v>
      </c>
      <c r="AE152" s="563">
        <f t="shared" si="243"/>
        <v>1648.8888888888882</v>
      </c>
      <c r="AF152" s="546">
        <f t="shared" si="244"/>
        <v>8.9150943396226423E-2</v>
      </c>
      <c r="AH152" s="179">
        <f t="shared" si="245"/>
        <v>0.72938330115241878</v>
      </c>
      <c r="AI152" s="179">
        <f t="shared" si="246"/>
        <v>0.90757861635220138</v>
      </c>
      <c r="AJ152" s="179">
        <f t="shared" si="247"/>
        <v>1.6500582343349639</v>
      </c>
      <c r="AL152" s="563">
        <f t="shared" si="248"/>
        <v>420</v>
      </c>
      <c r="AM152" s="472">
        <f t="shared" si="249"/>
        <v>251.17051585407697</v>
      </c>
      <c r="AO152" s="472">
        <f t="shared" si="194"/>
        <v>420</v>
      </c>
      <c r="AP152" s="472">
        <f t="shared" si="195"/>
        <v>251.17051585407697</v>
      </c>
      <c r="AR152" s="6">
        <f t="shared" si="233"/>
        <v>3.9813590245639023</v>
      </c>
      <c r="AS152" s="6">
        <f t="shared" si="230"/>
        <v>2.2689465408805032</v>
      </c>
      <c r="AT152" s="6">
        <f t="shared" si="231"/>
        <v>1.7124124836833992</v>
      </c>
      <c r="AU152" s="179">
        <f t="shared" si="232"/>
        <v>0.56989247311827951</v>
      </c>
      <c r="AW152" s="6">
        <f t="shared" si="199"/>
        <v>19.059150943396226</v>
      </c>
      <c r="AX152" s="6">
        <f t="shared" si="200"/>
        <v>14.438750714694109</v>
      </c>
      <c r="AY152" s="6">
        <f t="shared" si="201"/>
        <v>0.27747424504129148</v>
      </c>
      <c r="AZ152" s="6"/>
      <c r="BA152" s="179">
        <f t="shared" si="202"/>
        <v>0.39556703131540816</v>
      </c>
      <c r="BB152" s="179">
        <f t="shared" si="203"/>
        <v>1.030940031333619</v>
      </c>
      <c r="BC152" s="179">
        <f t="shared" si="204"/>
        <v>0.5008650318895832</v>
      </c>
      <c r="BD152" s="179"/>
      <c r="BE152" s="546">
        <f t="shared" si="205"/>
        <v>5.4765646692289782E-2</v>
      </c>
      <c r="BF152" s="546">
        <f t="shared" si="206"/>
        <v>4.7699999999999992E-2</v>
      </c>
      <c r="BG152" s="546">
        <f t="shared" si="207"/>
        <v>3.139631448175962E-3</v>
      </c>
      <c r="BH152" s="546">
        <f t="shared" si="208"/>
        <v>9.7756820622986029E-3</v>
      </c>
      <c r="BI152">
        <f t="shared" si="209"/>
        <v>3.48E-3</v>
      </c>
      <c r="BK152" s="472">
        <f t="shared" si="210"/>
        <v>118.86096020276433</v>
      </c>
      <c r="BL152" s="179">
        <f t="shared" si="211"/>
        <v>0.16800000000000001</v>
      </c>
      <c r="BM152" s="179">
        <f t="shared" si="212"/>
        <v>8.4000000000000005E-2</v>
      </c>
      <c r="BN152" s="546"/>
      <c r="BP152" s="472">
        <f t="shared" si="213"/>
        <v>252</v>
      </c>
      <c r="BQ152" s="546">
        <f t="shared" si="214"/>
        <v>3.1294655252737023E-2</v>
      </c>
      <c r="BR152" s="546">
        <f t="shared" si="215"/>
        <v>4.2513493928246535E-2</v>
      </c>
      <c r="BS152" s="546">
        <f t="shared" si="216"/>
        <v>2.5086578016975322E-2</v>
      </c>
      <c r="BT152" s="546">
        <f t="shared" si="217"/>
        <v>3.9228552675452812E-2</v>
      </c>
      <c r="BU152" s="546"/>
      <c r="BV152" s="655">
        <f t="shared" si="250"/>
        <v>2.0688888888888892E-2</v>
      </c>
      <c r="BW152" s="472">
        <f t="shared" si="219"/>
        <v>158.81216876230059</v>
      </c>
      <c r="BX152" s="179">
        <f t="shared" si="220"/>
        <v>0.52967312896506491</v>
      </c>
      <c r="BY152" s="6">
        <f t="shared" si="221"/>
        <v>2.7930000000000001</v>
      </c>
      <c r="BZ152" s="179">
        <f t="shared" si="222"/>
        <v>0.84058825276922566</v>
      </c>
      <c r="CA152" s="6">
        <f t="shared" si="223"/>
        <v>84.058825276922562</v>
      </c>
      <c r="CB152">
        <f t="shared" si="224"/>
        <v>42</v>
      </c>
      <c r="CD152" s="581">
        <f t="shared" si="251"/>
        <v>-50</v>
      </c>
      <c r="CE152">
        <f t="shared" si="252"/>
        <v>-50</v>
      </c>
    </row>
    <row r="153" spans="5:83" x14ac:dyDescent="0.2">
      <c r="E153" s="176">
        <v>43</v>
      </c>
      <c r="F153" s="223">
        <f t="shared" si="253"/>
        <v>0.43</v>
      </c>
      <c r="G153" s="223">
        <f t="shared" si="234"/>
        <v>0.215</v>
      </c>
      <c r="H153" s="223">
        <f t="shared" si="235"/>
        <v>2.15</v>
      </c>
      <c r="I153" s="223">
        <f t="shared" si="236"/>
        <v>0.70949999999999991</v>
      </c>
      <c r="J153" s="559">
        <f t="shared" si="171"/>
        <v>12</v>
      </c>
      <c r="K153" s="454">
        <f t="shared" si="172"/>
        <v>15.899999999999999</v>
      </c>
      <c r="L153" s="454">
        <f t="shared" si="173"/>
        <v>27.9</v>
      </c>
      <c r="M153" s="454"/>
      <c r="N153" s="223">
        <f t="shared" si="174"/>
        <v>0.56989247311827951</v>
      </c>
      <c r="O153" s="178">
        <f t="shared" si="237"/>
        <v>3.4707737084647103</v>
      </c>
      <c r="P153" s="178">
        <f t="shared" si="238"/>
        <v>1.5233225806451611</v>
      </c>
      <c r="Q153" s="223">
        <f t="shared" si="175"/>
        <v>0.69415474169294211</v>
      </c>
      <c r="R153" s="223">
        <f t="shared" si="239"/>
        <v>1.0517496086256699</v>
      </c>
      <c r="S153" s="223">
        <f t="shared" si="240"/>
        <v>5</v>
      </c>
      <c r="T153" s="223">
        <f t="shared" si="241"/>
        <v>0.92918763102725366</v>
      </c>
      <c r="U153" s="223">
        <f t="shared" si="179"/>
        <v>2.3229690775681342</v>
      </c>
      <c r="V153" s="223">
        <f t="shared" si="180"/>
        <v>1.7531842094853844</v>
      </c>
      <c r="W153" s="203">
        <f t="shared" si="181"/>
        <v>350</v>
      </c>
      <c r="X153" s="454">
        <f t="shared" si="182"/>
        <v>245.32934106677288</v>
      </c>
      <c r="Z153" s="223">
        <f t="shared" si="183"/>
        <v>0.65130568356374818</v>
      </c>
      <c r="AA153" s="179">
        <f t="shared" si="184"/>
        <v>1.2288786482334872</v>
      </c>
      <c r="AB153" s="179">
        <f t="shared" si="242"/>
        <v>0.31593775579129196</v>
      </c>
      <c r="AC153" s="179"/>
      <c r="AD153" s="179">
        <f t="shared" si="186"/>
        <v>0.5660377358490567</v>
      </c>
      <c r="AE153" s="563">
        <f t="shared" si="243"/>
        <v>1688.1481481481478</v>
      </c>
      <c r="AF153" s="546">
        <f t="shared" si="244"/>
        <v>8.9150943396226423E-2</v>
      </c>
      <c r="AH153" s="179">
        <f t="shared" si="245"/>
        <v>0.73801535666046048</v>
      </c>
      <c r="AI153" s="179">
        <f t="shared" si="246"/>
        <v>0.92918763102725366</v>
      </c>
      <c r="AJ153" s="179">
        <f t="shared" si="247"/>
        <v>1.6660649118720396</v>
      </c>
      <c r="AL153" s="563">
        <f t="shared" si="248"/>
        <v>430</v>
      </c>
      <c r="AM153" s="472">
        <f t="shared" si="249"/>
        <v>245.32934106677288</v>
      </c>
      <c r="AO153" s="472">
        <f t="shared" si="194"/>
        <v>430</v>
      </c>
      <c r="AP153" s="472">
        <f t="shared" si="195"/>
        <v>245.32934106677288</v>
      </c>
      <c r="AR153" s="6">
        <f t="shared" si="233"/>
        <v>4.0761532870535184</v>
      </c>
      <c r="AS153" s="6">
        <f t="shared" si="230"/>
        <v>2.3229690775681342</v>
      </c>
      <c r="AT153" s="6">
        <f t="shared" si="231"/>
        <v>1.7531842094853842</v>
      </c>
      <c r="AU153" s="179">
        <f t="shared" si="232"/>
        <v>0.56989247311827962</v>
      </c>
      <c r="AW153" s="6">
        <f t="shared" si="199"/>
        <v>19.977534067085951</v>
      </c>
      <c r="AX153" s="6">
        <f t="shared" si="200"/>
        <v>15.134495505368147</v>
      </c>
      <c r="AY153" s="6">
        <f t="shared" si="201"/>
        <v>0.29084460265382528</v>
      </c>
      <c r="AZ153" s="6"/>
      <c r="BA153" s="179">
        <f t="shared" si="202"/>
        <v>0.40498529396577504</v>
      </c>
      <c r="BB153" s="179">
        <f t="shared" si="203"/>
        <v>1.0554862225558477</v>
      </c>
      <c r="BC153" s="179">
        <f t="shared" si="204"/>
        <v>0.51279038979171598</v>
      </c>
      <c r="BD153" s="179"/>
      <c r="BE153" s="546">
        <f t="shared" si="205"/>
        <v>5.7404580914990823E-2</v>
      </c>
      <c r="BF153" s="546">
        <f t="shared" si="206"/>
        <v>4.7699999999999992E-2</v>
      </c>
      <c r="BG153" s="546">
        <f t="shared" si="207"/>
        <v>3.066616763334661E-3</v>
      </c>
      <c r="BH153" s="546">
        <f t="shared" si="208"/>
        <v>9.5483406189893344E-3</v>
      </c>
      <c r="BI153">
        <f t="shared" si="209"/>
        <v>3.48E-3</v>
      </c>
      <c r="BK153" s="472">
        <f t="shared" si="210"/>
        <v>121.1995382973148</v>
      </c>
      <c r="BL153" s="179">
        <f t="shared" si="211"/>
        <v>0.17200000000000001</v>
      </c>
      <c r="BM153" s="179">
        <f t="shared" si="212"/>
        <v>8.6000000000000007E-2</v>
      </c>
      <c r="BN153" s="546"/>
      <c r="BP153" s="472">
        <f t="shared" si="213"/>
        <v>258</v>
      </c>
      <c r="BQ153" s="546">
        <f t="shared" si="214"/>
        <v>3.2802617665709043E-2</v>
      </c>
      <c r="BR153" s="546">
        <f t="shared" si="215"/>
        <v>4.4562046640208498E-2</v>
      </c>
      <c r="BS153" s="546">
        <f t="shared" si="216"/>
        <v>2.6295398386274E-2</v>
      </c>
      <c r="BT153" s="546">
        <f t="shared" si="217"/>
        <v>3.9228552675452777E-2</v>
      </c>
      <c r="BU153" s="546"/>
      <c r="BV153" s="655">
        <f t="shared" si="250"/>
        <v>2.1181481481481482E-2</v>
      </c>
      <c r="BW153" s="472">
        <f t="shared" si="219"/>
        <v>164.07009684912578</v>
      </c>
      <c r="BX153" s="179">
        <f t="shared" si="220"/>
        <v>0.54326963514644055</v>
      </c>
      <c r="BY153" s="6">
        <f t="shared" si="221"/>
        <v>2.8594999999999997</v>
      </c>
      <c r="BZ153" s="179">
        <f t="shared" si="222"/>
        <v>0.84034486803481168</v>
      </c>
      <c r="CA153" s="6">
        <f t="shared" si="223"/>
        <v>84.034486803481173</v>
      </c>
      <c r="CB153">
        <f t="shared" si="224"/>
        <v>43</v>
      </c>
      <c r="CD153" s="581">
        <f t="shared" si="251"/>
        <v>-50</v>
      </c>
      <c r="CE153">
        <f t="shared" si="252"/>
        <v>-50</v>
      </c>
    </row>
    <row r="154" spans="5:83" x14ac:dyDescent="0.2">
      <c r="E154" s="176">
        <v>44</v>
      </c>
      <c r="F154" s="223">
        <f t="shared" si="253"/>
        <v>0.44</v>
      </c>
      <c r="G154" s="223">
        <f t="shared" si="234"/>
        <v>0.22</v>
      </c>
      <c r="H154" s="223">
        <f t="shared" si="235"/>
        <v>2.2000000000000002</v>
      </c>
      <c r="I154" s="223">
        <f t="shared" si="236"/>
        <v>0.72599999999999998</v>
      </c>
      <c r="J154" s="559">
        <f t="shared" si="171"/>
        <v>12</v>
      </c>
      <c r="K154" s="454">
        <f t="shared" si="172"/>
        <v>15.899999999999999</v>
      </c>
      <c r="L154" s="454">
        <f t="shared" si="173"/>
        <v>27.9</v>
      </c>
      <c r="M154" s="454"/>
      <c r="N154" s="223">
        <f t="shared" si="174"/>
        <v>0.56989247311827951</v>
      </c>
      <c r="O154" s="178">
        <f t="shared" si="237"/>
        <v>3.4707737084647103</v>
      </c>
      <c r="P154" s="178">
        <f t="shared" si="238"/>
        <v>1.5233225806451611</v>
      </c>
      <c r="Q154" s="223">
        <f t="shared" si="175"/>
        <v>0.69415474169294211</v>
      </c>
      <c r="R154" s="223">
        <f t="shared" si="239"/>
        <v>1.0517496086256699</v>
      </c>
      <c r="S154" s="223">
        <f t="shared" si="240"/>
        <v>5</v>
      </c>
      <c r="T154" s="223">
        <f t="shared" si="241"/>
        <v>0.95079664570230615</v>
      </c>
      <c r="U154" s="223">
        <f t="shared" si="179"/>
        <v>2.3769916142557657</v>
      </c>
      <c r="V154" s="223">
        <f t="shared" si="180"/>
        <v>1.7939559352873704</v>
      </c>
      <c r="W154" s="203">
        <f t="shared" si="181"/>
        <v>350</v>
      </c>
      <c r="X154" s="454">
        <f t="shared" si="182"/>
        <v>239.75367422434616</v>
      </c>
      <c r="Z154" s="223">
        <f t="shared" si="183"/>
        <v>0.65130568356374818</v>
      </c>
      <c r="AA154" s="179">
        <f t="shared" si="184"/>
        <v>1.2288786482334872</v>
      </c>
      <c r="AB154" s="179">
        <f t="shared" si="242"/>
        <v>0.31593775579129196</v>
      </c>
      <c r="AC154" s="179"/>
      <c r="AD154" s="179">
        <f t="shared" si="186"/>
        <v>0.5660377358490567</v>
      </c>
      <c r="AE154" s="563">
        <f t="shared" si="243"/>
        <v>1727.4074074074074</v>
      </c>
      <c r="AF154" s="546">
        <f t="shared" si="244"/>
        <v>8.9150943396226423E-2</v>
      </c>
      <c r="AH154" s="179">
        <f t="shared" si="245"/>
        <v>0.74654760955570232</v>
      </c>
      <c r="AI154" s="179">
        <f t="shared" si="246"/>
        <v>0.95079664570230615</v>
      </c>
      <c r="AJ154" s="179">
        <f t="shared" si="247"/>
        <v>1.6820715894091156</v>
      </c>
      <c r="AL154" s="563">
        <f t="shared" si="248"/>
        <v>440</v>
      </c>
      <c r="AM154" s="472">
        <f t="shared" si="249"/>
        <v>239.75367422434616</v>
      </c>
      <c r="AO154" s="472">
        <f t="shared" si="194"/>
        <v>440</v>
      </c>
      <c r="AP154" s="472">
        <f t="shared" si="195"/>
        <v>239.75367422434616</v>
      </c>
      <c r="AR154" s="6">
        <f t="shared" si="233"/>
        <v>4.1709475495431363</v>
      </c>
      <c r="AS154" s="6">
        <f t="shared" si="230"/>
        <v>2.3769916142557657</v>
      </c>
      <c r="AT154" s="6">
        <f t="shared" si="231"/>
        <v>1.7939559352873706</v>
      </c>
      <c r="AU154" s="179">
        <f t="shared" si="232"/>
        <v>0.56989247311827951</v>
      </c>
      <c r="AW154" s="6">
        <f t="shared" si="199"/>
        <v>20.917526205450734</v>
      </c>
      <c r="AX154" s="6">
        <f t="shared" si="200"/>
        <v>15.846610761705103</v>
      </c>
      <c r="AY154" s="6">
        <f t="shared" si="201"/>
        <v>0.30452955691606598</v>
      </c>
      <c r="AZ154" s="6"/>
      <c r="BA154" s="179">
        <f t="shared" si="202"/>
        <v>0.41440355661614187</v>
      </c>
      <c r="BB154" s="179">
        <f t="shared" si="203"/>
        <v>1.0800324137780768</v>
      </c>
      <c r="BC154" s="179">
        <f t="shared" si="204"/>
        <v>0.52471574769384899</v>
      </c>
      <c r="BD154" s="179"/>
      <c r="BE154" s="546">
        <f t="shared" si="205"/>
        <v>6.0105607707637759E-2</v>
      </c>
      <c r="BF154" s="546">
        <f t="shared" si="206"/>
        <v>4.7699999999999979E-2</v>
      </c>
      <c r="BG154" s="546">
        <f t="shared" si="207"/>
        <v>2.9969209278043266E-3</v>
      </c>
      <c r="BH154" s="546">
        <f t="shared" si="208"/>
        <v>9.331332877648665E-3</v>
      </c>
      <c r="BI154">
        <f t="shared" si="209"/>
        <v>3.48E-3</v>
      </c>
      <c r="BK154" s="472">
        <f t="shared" si="210"/>
        <v>123.61386151309073</v>
      </c>
      <c r="BL154" s="179">
        <f t="shared" si="211"/>
        <v>0.17600000000000002</v>
      </c>
      <c r="BM154" s="179">
        <f t="shared" si="212"/>
        <v>8.8000000000000009E-2</v>
      </c>
      <c r="BN154" s="546"/>
      <c r="BP154" s="472">
        <f t="shared" si="213"/>
        <v>264</v>
      </c>
      <c r="BQ154" s="546">
        <f t="shared" si="214"/>
        <v>3.4346061547221578E-2</v>
      </c>
      <c r="BR154" s="546">
        <f t="shared" si="215"/>
        <v>4.6658800592451963E-2</v>
      </c>
      <c r="BS154" s="546">
        <f t="shared" si="216"/>
        <v>2.7532661587791503E-2</v>
      </c>
      <c r="BT154" s="546">
        <f t="shared" si="217"/>
        <v>3.9228552675452812E-2</v>
      </c>
      <c r="BU154" s="546"/>
      <c r="BV154" s="655">
        <f t="shared" si="250"/>
        <v>2.1674074074074078E-2</v>
      </c>
      <c r="BW154" s="472">
        <f t="shared" si="219"/>
        <v>169.4401504769919</v>
      </c>
      <c r="BX154" s="179">
        <f t="shared" si="220"/>
        <v>0.55705401199008275</v>
      </c>
      <c r="BY154" s="6">
        <f t="shared" si="221"/>
        <v>2.9260000000000002</v>
      </c>
      <c r="BZ154" s="179">
        <f t="shared" si="222"/>
        <v>0.8400673632758846</v>
      </c>
      <c r="CA154" s="6">
        <f t="shared" si="223"/>
        <v>84.006736327588456</v>
      </c>
      <c r="CB154">
        <f t="shared" si="224"/>
        <v>44</v>
      </c>
      <c r="CD154" s="581">
        <f t="shared" si="251"/>
        <v>-50</v>
      </c>
      <c r="CE154">
        <f t="shared" si="252"/>
        <v>-50</v>
      </c>
    </row>
    <row r="155" spans="5:83" x14ac:dyDescent="0.2">
      <c r="E155" s="176">
        <v>45</v>
      </c>
      <c r="F155" s="223">
        <f t="shared" si="253"/>
        <v>0.45</v>
      </c>
      <c r="G155" s="223">
        <f t="shared" si="234"/>
        <v>0.22500000000000001</v>
      </c>
      <c r="H155" s="223">
        <f t="shared" si="235"/>
        <v>2.25</v>
      </c>
      <c r="I155" s="223">
        <f t="shared" si="236"/>
        <v>0.74249999999999994</v>
      </c>
      <c r="J155" s="559">
        <f t="shared" si="171"/>
        <v>12</v>
      </c>
      <c r="K155" s="454">
        <f t="shared" si="172"/>
        <v>15.899999999999999</v>
      </c>
      <c r="L155" s="454">
        <f t="shared" si="173"/>
        <v>27.9</v>
      </c>
      <c r="M155" s="454"/>
      <c r="N155" s="223">
        <f t="shared" si="174"/>
        <v>0.56989247311827951</v>
      </c>
      <c r="O155" s="178">
        <f t="shared" si="237"/>
        <v>3.4707737084647103</v>
      </c>
      <c r="P155" s="178">
        <f t="shared" si="238"/>
        <v>1.5233225806451611</v>
      </c>
      <c r="Q155" s="223">
        <f t="shared" si="175"/>
        <v>0.69415474169294211</v>
      </c>
      <c r="R155" s="223">
        <f t="shared" si="239"/>
        <v>1.0517496086256699</v>
      </c>
      <c r="S155" s="223">
        <f t="shared" si="240"/>
        <v>5</v>
      </c>
      <c r="T155" s="223">
        <f t="shared" si="241"/>
        <v>0.97240566037735843</v>
      </c>
      <c r="U155" s="223">
        <f t="shared" si="179"/>
        <v>2.4310141509433962</v>
      </c>
      <c r="V155" s="223">
        <f t="shared" si="180"/>
        <v>1.8347276610893557</v>
      </c>
      <c r="W155" s="203">
        <f t="shared" si="181"/>
        <v>350</v>
      </c>
      <c r="X155" s="454">
        <f t="shared" si="182"/>
        <v>234.42581479713851</v>
      </c>
      <c r="Z155" s="223">
        <f t="shared" si="183"/>
        <v>0.65130568356374818</v>
      </c>
      <c r="AA155" s="179">
        <f t="shared" si="184"/>
        <v>1.2288786482334872</v>
      </c>
      <c r="AB155" s="179">
        <f t="shared" si="242"/>
        <v>0.31593775579129196</v>
      </c>
      <c r="AC155" s="179"/>
      <c r="AD155" s="179">
        <f t="shared" si="186"/>
        <v>0.5660377358490567</v>
      </c>
      <c r="AE155" s="563">
        <f t="shared" si="243"/>
        <v>1766.6666666666665</v>
      </c>
      <c r="AF155" s="546">
        <f t="shared" si="244"/>
        <v>8.9150943396226423E-2</v>
      </c>
      <c r="AH155" s="179">
        <f t="shared" si="245"/>
        <v>0.75498344352707492</v>
      </c>
      <c r="AI155" s="179">
        <f t="shared" si="246"/>
        <v>0.97240566037735843</v>
      </c>
      <c r="AJ155" s="179">
        <f t="shared" si="247"/>
        <v>1.6980782669461916</v>
      </c>
      <c r="AL155" s="563">
        <f t="shared" si="248"/>
        <v>450</v>
      </c>
      <c r="AM155" s="472">
        <f t="shared" si="249"/>
        <v>234.42581479713851</v>
      </c>
      <c r="AO155" s="472">
        <f t="shared" si="194"/>
        <v>450</v>
      </c>
      <c r="AP155" s="472">
        <f t="shared" si="195"/>
        <v>234.42581479713851</v>
      </c>
      <c r="AR155" s="6">
        <f t="shared" si="233"/>
        <v>4.2657418120327515</v>
      </c>
      <c r="AS155" s="6">
        <f t="shared" si="230"/>
        <v>2.4310141509433962</v>
      </c>
      <c r="AT155" s="6">
        <f t="shared" si="231"/>
        <v>1.8347276610893553</v>
      </c>
      <c r="AU155" s="179">
        <f t="shared" si="232"/>
        <v>0.56989247311827962</v>
      </c>
      <c r="AW155" s="6">
        <f t="shared" si="199"/>
        <v>21.879127358490564</v>
      </c>
      <c r="AX155" s="6">
        <f t="shared" si="200"/>
        <v>16.575096483704975</v>
      </c>
      <c r="AY155" s="6">
        <f t="shared" si="201"/>
        <v>0.31852910782801303</v>
      </c>
      <c r="AZ155" s="6"/>
      <c r="BA155" s="179">
        <f t="shared" si="202"/>
        <v>0.42382181926650869</v>
      </c>
      <c r="BB155" s="179">
        <f t="shared" si="203"/>
        <v>1.1045786050003057</v>
      </c>
      <c r="BC155" s="179">
        <f t="shared" si="204"/>
        <v>0.53664110559598177</v>
      </c>
      <c r="BD155" s="179"/>
      <c r="BE155" s="546">
        <f t="shared" si="205"/>
        <v>6.2868727070230598E-2</v>
      </c>
      <c r="BF155" s="546">
        <f t="shared" si="206"/>
        <v>4.7699999999999985E-2</v>
      </c>
      <c r="BG155" s="546">
        <f t="shared" si="207"/>
        <v>2.9303226849642311E-3</v>
      </c>
      <c r="BH155" s="546">
        <f t="shared" si="208"/>
        <v>9.1239699248120299E-3</v>
      </c>
      <c r="BI155">
        <f t="shared" si="209"/>
        <v>3.48E-3</v>
      </c>
      <c r="BK155" s="472">
        <f t="shared" si="210"/>
        <v>126.10301968000684</v>
      </c>
      <c r="BL155" s="179">
        <f t="shared" si="211"/>
        <v>0.18000000000000002</v>
      </c>
      <c r="BM155" s="179">
        <f t="shared" si="212"/>
        <v>9.0000000000000011E-2</v>
      </c>
      <c r="BN155" s="546"/>
      <c r="BP155" s="472">
        <f t="shared" si="213"/>
        <v>270</v>
      </c>
      <c r="BQ155" s="546">
        <f t="shared" si="214"/>
        <v>3.5924986897274629E-2</v>
      </c>
      <c r="BR155" s="546">
        <f t="shared" si="215"/>
        <v>4.8803755784976852E-2</v>
      </c>
      <c r="BS155" s="546">
        <f t="shared" si="216"/>
        <v>2.8798367621527765E-2</v>
      </c>
      <c r="BT155" s="546">
        <f t="shared" si="217"/>
        <v>3.9228552675452839E-2</v>
      </c>
      <c r="BU155" s="546"/>
      <c r="BV155" s="655">
        <f t="shared" si="250"/>
        <v>2.2166666666666661E-2</v>
      </c>
      <c r="BW155" s="472">
        <f t="shared" si="219"/>
        <v>174.92232964589874</v>
      </c>
      <c r="BX155" s="179">
        <f t="shared" si="220"/>
        <v>0.57102534932590576</v>
      </c>
      <c r="BY155" s="6">
        <f t="shared" si="221"/>
        <v>2.9924999999999997</v>
      </c>
      <c r="BZ155" s="179">
        <f t="shared" si="222"/>
        <v>0.83975830298669718</v>
      </c>
      <c r="CA155" s="6">
        <f t="shared" si="223"/>
        <v>83.97583029866972</v>
      </c>
      <c r="CB155">
        <f t="shared" si="224"/>
        <v>45</v>
      </c>
      <c r="CD155" s="581">
        <f t="shared" si="251"/>
        <v>-50</v>
      </c>
      <c r="CE155">
        <f t="shared" si="252"/>
        <v>-50</v>
      </c>
    </row>
    <row r="156" spans="5:83" s="78" customFormat="1" x14ac:dyDescent="0.2">
      <c r="E156" s="195">
        <v>46</v>
      </c>
      <c r="F156" s="335">
        <f t="shared" si="253"/>
        <v>0.46</v>
      </c>
      <c r="G156" s="223">
        <f t="shared" si="234"/>
        <v>0.23</v>
      </c>
      <c r="H156" s="335">
        <f t="shared" si="235"/>
        <v>2.3000000000000003</v>
      </c>
      <c r="I156" s="223">
        <f t="shared" si="236"/>
        <v>0.75900000000000001</v>
      </c>
      <c r="J156" s="559">
        <f t="shared" si="171"/>
        <v>12</v>
      </c>
      <c r="K156" s="553">
        <f t="shared" si="172"/>
        <v>15.899999999999999</v>
      </c>
      <c r="L156" s="553">
        <f t="shared" si="173"/>
        <v>27.9</v>
      </c>
      <c r="M156" s="553"/>
      <c r="N156" s="335">
        <f t="shared" si="174"/>
        <v>0.56989247311827951</v>
      </c>
      <c r="O156" s="178">
        <f t="shared" si="237"/>
        <v>3.4707737084647103</v>
      </c>
      <c r="P156" s="178">
        <f t="shared" si="238"/>
        <v>1.5233225806451611</v>
      </c>
      <c r="Q156" s="335">
        <f t="shared" si="175"/>
        <v>0.69415474169294211</v>
      </c>
      <c r="R156" s="223">
        <f t="shared" si="239"/>
        <v>1.0517496086256699</v>
      </c>
      <c r="S156" s="335">
        <f t="shared" si="240"/>
        <v>5</v>
      </c>
      <c r="T156" s="223">
        <f t="shared" si="241"/>
        <v>0.99401467505241103</v>
      </c>
      <c r="U156" s="335">
        <f t="shared" si="179"/>
        <v>2.4850366876310277</v>
      </c>
      <c r="V156" s="335">
        <f t="shared" si="180"/>
        <v>1.8754993868913419</v>
      </c>
      <c r="W156" s="555">
        <f t="shared" si="181"/>
        <v>350</v>
      </c>
      <c r="X156" s="553">
        <f t="shared" si="182"/>
        <v>229.32960143198329</v>
      </c>
      <c r="Z156" s="335">
        <f t="shared" si="183"/>
        <v>0.65130568356374818</v>
      </c>
      <c r="AA156" s="556">
        <f t="shared" si="184"/>
        <v>1.2288786482334872</v>
      </c>
      <c r="AB156" s="179">
        <f t="shared" si="242"/>
        <v>0.31593775579129196</v>
      </c>
      <c r="AC156" s="556"/>
      <c r="AD156" s="556">
        <f t="shared" si="186"/>
        <v>0.5660377358490567</v>
      </c>
      <c r="AE156" s="563">
        <f t="shared" si="243"/>
        <v>1805.9259259259256</v>
      </c>
      <c r="AF156" s="546">
        <f t="shared" si="244"/>
        <v>8.9150943396226423E-2</v>
      </c>
      <c r="AH156" s="179">
        <f t="shared" si="245"/>
        <v>0.76332605527825836</v>
      </c>
      <c r="AI156" s="556">
        <f t="shared" si="246"/>
        <v>0.99401467505241103</v>
      </c>
      <c r="AJ156" s="556">
        <f t="shared" si="247"/>
        <v>1.7140849444832673</v>
      </c>
      <c r="AL156" s="583">
        <f t="shared" si="248"/>
        <v>460</v>
      </c>
      <c r="AM156" s="584">
        <f t="shared" si="249"/>
        <v>229.32960143198329</v>
      </c>
      <c r="AO156" s="78">
        <f t="shared" si="194"/>
        <v>460</v>
      </c>
      <c r="AP156" s="78">
        <f t="shared" si="195"/>
        <v>229.32960143198329</v>
      </c>
      <c r="AR156" s="552">
        <f t="shared" si="233"/>
        <v>4.3605360745223694</v>
      </c>
      <c r="AS156" s="6">
        <f t="shared" si="230"/>
        <v>2.4850366876310277</v>
      </c>
      <c r="AT156" s="6">
        <f t="shared" si="231"/>
        <v>1.8754993868913417</v>
      </c>
      <c r="AU156" s="179">
        <f t="shared" si="232"/>
        <v>0.56989247311827962</v>
      </c>
      <c r="AW156" s="6">
        <f t="shared" si="199"/>
        <v>22.862337526205458</v>
      </c>
      <c r="AX156" s="6">
        <f t="shared" si="200"/>
        <v>17.319952671367769</v>
      </c>
      <c r="AY156" s="6">
        <f t="shared" si="201"/>
        <v>0.33284325538966714</v>
      </c>
      <c r="AZ156" s="6"/>
      <c r="BA156" s="179">
        <f t="shared" si="202"/>
        <v>0.43324008191687569</v>
      </c>
      <c r="BB156" s="179">
        <f t="shared" si="203"/>
        <v>1.1291247962225348</v>
      </c>
      <c r="BC156" s="179">
        <f t="shared" si="204"/>
        <v>0.54856646349811478</v>
      </c>
      <c r="BD156" s="179"/>
      <c r="BE156" s="546">
        <f t="shared" si="205"/>
        <v>6.5693939002769403E-2</v>
      </c>
      <c r="BF156" s="546">
        <f t="shared" si="206"/>
        <v>4.7699999999999985E-2</v>
      </c>
      <c r="BG156" s="546">
        <f t="shared" si="207"/>
        <v>2.8666200178997913E-3</v>
      </c>
      <c r="BH156" s="546">
        <f t="shared" si="208"/>
        <v>8.9256227525335071E-3</v>
      </c>
      <c r="BI156">
        <f t="shared" si="209"/>
        <v>3.48E-3</v>
      </c>
      <c r="BJ156"/>
      <c r="BK156" s="472">
        <f t="shared" si="210"/>
        <v>128.66618177320271</v>
      </c>
      <c r="BL156" s="179">
        <f t="shared" si="211"/>
        <v>0.18400000000000002</v>
      </c>
      <c r="BM156" s="179">
        <f t="shared" si="212"/>
        <v>9.2000000000000012E-2</v>
      </c>
      <c r="BN156" s="546"/>
      <c r="BO156"/>
      <c r="BP156" s="472">
        <f t="shared" si="213"/>
        <v>276</v>
      </c>
      <c r="BQ156" s="546">
        <f t="shared" si="214"/>
        <v>3.753939371586823E-2</v>
      </c>
      <c r="BR156" s="546">
        <f t="shared" si="215"/>
        <v>5.0996912217783227E-2</v>
      </c>
      <c r="BS156" s="546">
        <f t="shared" si="216"/>
        <v>3.0092516487482852E-2</v>
      </c>
      <c r="BT156" s="546">
        <f t="shared" si="217"/>
        <v>3.9228552675452839E-2</v>
      </c>
      <c r="BU156" s="546"/>
      <c r="BV156" s="655">
        <f t="shared" si="250"/>
        <v>2.2659259259259261E-2</v>
      </c>
      <c r="BW156" s="472">
        <f t="shared" si="219"/>
        <v>180.51663435584641</v>
      </c>
      <c r="BX156" s="179">
        <f t="shared" si="220"/>
        <v>0.58518281612904921</v>
      </c>
      <c r="BY156" s="6">
        <f t="shared" si="221"/>
        <v>3.0590000000000002</v>
      </c>
      <c r="BZ156" s="179">
        <f t="shared" si="222"/>
        <v>0.83942001659767262</v>
      </c>
      <c r="CA156" s="6">
        <f t="shared" si="223"/>
        <v>83.942001659767257</v>
      </c>
      <c r="CB156">
        <f t="shared" si="224"/>
        <v>46</v>
      </c>
      <c r="CD156" s="581">
        <f t="shared" si="251"/>
        <v>-50</v>
      </c>
      <c r="CE156">
        <f t="shared" si="252"/>
        <v>-50</v>
      </c>
    </row>
    <row r="157" spans="5:83" x14ac:dyDescent="0.2">
      <c r="E157" s="176">
        <v>47</v>
      </c>
      <c r="F157" s="223">
        <f t="shared" si="253"/>
        <v>0.47</v>
      </c>
      <c r="G157" s="223">
        <f t="shared" si="234"/>
        <v>0.23499999999999999</v>
      </c>
      <c r="H157" s="223">
        <f t="shared" si="235"/>
        <v>2.3499999999999996</v>
      </c>
      <c r="I157" s="223">
        <f t="shared" si="236"/>
        <v>0.77549999999999997</v>
      </c>
      <c r="J157" s="559">
        <f t="shared" si="171"/>
        <v>12</v>
      </c>
      <c r="K157" s="454">
        <f t="shared" si="172"/>
        <v>15.899999999999999</v>
      </c>
      <c r="L157" s="454">
        <f t="shared" si="173"/>
        <v>27.9</v>
      </c>
      <c r="M157" s="454"/>
      <c r="N157" s="223">
        <f t="shared" si="174"/>
        <v>0.56989247311827951</v>
      </c>
      <c r="O157" s="178">
        <f t="shared" si="237"/>
        <v>3.4707737084647103</v>
      </c>
      <c r="P157" s="178">
        <f t="shared" si="238"/>
        <v>1.5233225806451611</v>
      </c>
      <c r="Q157" s="223">
        <f t="shared" si="175"/>
        <v>0.69415474169294211</v>
      </c>
      <c r="R157" s="223">
        <f t="shared" si="239"/>
        <v>1.0517496086256699</v>
      </c>
      <c r="S157" s="223">
        <f t="shared" si="240"/>
        <v>5</v>
      </c>
      <c r="T157" s="223">
        <f t="shared" si="241"/>
        <v>1.0156236897274633</v>
      </c>
      <c r="U157" s="223">
        <f t="shared" si="179"/>
        <v>2.5390592243186583</v>
      </c>
      <c r="V157" s="223">
        <f t="shared" si="180"/>
        <v>1.9162711126933274</v>
      </c>
      <c r="W157" s="203">
        <f t="shared" si="181"/>
        <v>350</v>
      </c>
      <c r="X157" s="454">
        <f t="shared" si="182"/>
        <v>224.45024821002625</v>
      </c>
      <c r="Z157" s="223">
        <f t="shared" si="183"/>
        <v>0.65130568356374818</v>
      </c>
      <c r="AA157" s="179">
        <f t="shared" si="184"/>
        <v>1.2288786482334872</v>
      </c>
      <c r="AB157" s="179">
        <f t="shared" si="242"/>
        <v>0.31593775579129196</v>
      </c>
      <c r="AC157" s="179"/>
      <c r="AD157" s="179">
        <f t="shared" si="186"/>
        <v>0.5660377358490567</v>
      </c>
      <c r="AE157" s="563">
        <f t="shared" si="243"/>
        <v>1845.1851851851848</v>
      </c>
      <c r="AF157" s="546">
        <f t="shared" si="244"/>
        <v>8.9150943396226423E-2</v>
      </c>
      <c r="AH157" s="179">
        <f t="shared" si="245"/>
        <v>0.77157846868178825</v>
      </c>
      <c r="AI157" s="179">
        <f t="shared" si="246"/>
        <v>1.0156236897274633</v>
      </c>
      <c r="AJ157" s="179">
        <f t="shared" si="247"/>
        <v>1.7300916220203431</v>
      </c>
      <c r="AL157" s="563">
        <f t="shared" si="248"/>
        <v>470</v>
      </c>
      <c r="AM157" s="472">
        <f t="shared" si="249"/>
        <v>224.45024821002625</v>
      </c>
      <c r="AO157">
        <f t="shared" si="194"/>
        <v>470</v>
      </c>
      <c r="AP157">
        <f t="shared" si="195"/>
        <v>224.45024821002625</v>
      </c>
      <c r="AR157" s="6">
        <f t="shared" si="233"/>
        <v>4.4553303370119854</v>
      </c>
      <c r="AS157" s="6">
        <f t="shared" si="230"/>
        <v>2.5390592243186583</v>
      </c>
      <c r="AT157" s="6">
        <f t="shared" si="231"/>
        <v>1.9162711126933272</v>
      </c>
      <c r="AU157" s="179">
        <f t="shared" si="232"/>
        <v>0.56989247311827951</v>
      </c>
      <c r="AW157" s="6">
        <f t="shared" si="199"/>
        <v>23.867156708595388</v>
      </c>
      <c r="AX157" s="6">
        <f t="shared" si="200"/>
        <v>18.081179324693476</v>
      </c>
      <c r="AY157" s="6">
        <f t="shared" si="201"/>
        <v>0.34747199960102759</v>
      </c>
      <c r="AZ157" s="6"/>
      <c r="BA157" s="179">
        <f t="shared" si="202"/>
        <v>0.4426583445672424</v>
      </c>
      <c r="BB157" s="179">
        <f t="shared" si="203"/>
        <v>1.1536709874447639</v>
      </c>
      <c r="BC157" s="179">
        <f t="shared" si="204"/>
        <v>0.56049182140024778</v>
      </c>
      <c r="BD157" s="179"/>
      <c r="BE157" s="546">
        <f t="shared" si="205"/>
        <v>6.8581243505254019E-2</v>
      </c>
      <c r="BF157" s="546">
        <f t="shared" si="206"/>
        <v>4.7699999999999992E-2</v>
      </c>
      <c r="BG157" s="546">
        <f t="shared" si="207"/>
        <v>2.8056281026253281E-3</v>
      </c>
      <c r="BH157" s="546">
        <f t="shared" si="208"/>
        <v>8.7357158854583263E-3</v>
      </c>
      <c r="BI157">
        <f t="shared" si="209"/>
        <v>3.48E-3</v>
      </c>
      <c r="BK157" s="472">
        <f t="shared" si="210"/>
        <v>131.30258749333768</v>
      </c>
      <c r="BL157" s="179">
        <f t="shared" si="211"/>
        <v>0.188</v>
      </c>
      <c r="BM157" s="179">
        <f t="shared" si="212"/>
        <v>9.4E-2</v>
      </c>
      <c r="BN157" s="546"/>
      <c r="BP157" s="472">
        <f t="shared" si="213"/>
        <v>282</v>
      </c>
      <c r="BQ157" s="546">
        <f t="shared" si="214"/>
        <v>3.9189282003002306E-2</v>
      </c>
      <c r="BR157" s="546">
        <f t="shared" si="215"/>
        <v>5.3238269890871069E-2</v>
      </c>
      <c r="BS157" s="546">
        <f t="shared" si="216"/>
        <v>3.141510818565673E-2</v>
      </c>
      <c r="BT157" s="546">
        <f t="shared" si="217"/>
        <v>3.9228552675452867E-2</v>
      </c>
      <c r="BU157" s="546"/>
      <c r="BV157" s="655">
        <f t="shared" si="250"/>
        <v>2.3151851851851854E-2</v>
      </c>
      <c r="BW157" s="472">
        <f t="shared" si="219"/>
        <v>186.22306460683481</v>
      </c>
      <c r="BX157" s="179">
        <f t="shared" si="220"/>
        <v>0.59952565210017261</v>
      </c>
      <c r="BY157" s="6">
        <f t="shared" si="221"/>
        <v>3.1254999999999997</v>
      </c>
      <c r="BZ157" s="179">
        <f t="shared" si="222"/>
        <v>0.83905462456019331</v>
      </c>
      <c r="CA157" s="6">
        <f t="shared" si="223"/>
        <v>83.905462456019336</v>
      </c>
      <c r="CB157">
        <f t="shared" si="224"/>
        <v>47</v>
      </c>
      <c r="CD157" s="581">
        <f t="shared" si="251"/>
        <v>-50</v>
      </c>
      <c r="CE157">
        <f t="shared" si="252"/>
        <v>-50</v>
      </c>
    </row>
    <row r="158" spans="5:83" x14ac:dyDescent="0.2">
      <c r="E158" s="176">
        <v>48</v>
      </c>
      <c r="F158" s="223">
        <f t="shared" si="253"/>
        <v>0.48</v>
      </c>
      <c r="G158" s="223">
        <f t="shared" si="234"/>
        <v>0.24</v>
      </c>
      <c r="H158" s="223">
        <f t="shared" si="235"/>
        <v>2.4</v>
      </c>
      <c r="I158" s="223">
        <f t="shared" si="236"/>
        <v>0.79199999999999993</v>
      </c>
      <c r="J158" s="559">
        <f t="shared" si="171"/>
        <v>12</v>
      </c>
      <c r="K158" s="454">
        <f t="shared" si="172"/>
        <v>15.899999999999999</v>
      </c>
      <c r="L158" s="454">
        <f t="shared" si="173"/>
        <v>27.9</v>
      </c>
      <c r="M158" s="454"/>
      <c r="N158" s="223">
        <f t="shared" si="174"/>
        <v>0.56989247311827951</v>
      </c>
      <c r="O158" s="178">
        <f t="shared" si="237"/>
        <v>3.4707737084647103</v>
      </c>
      <c r="P158" s="178">
        <f t="shared" si="238"/>
        <v>1.5233225806451611</v>
      </c>
      <c r="Q158" s="223">
        <f t="shared" si="175"/>
        <v>0.69415474169294211</v>
      </c>
      <c r="R158" s="223">
        <f t="shared" si="239"/>
        <v>1.0517496086256699</v>
      </c>
      <c r="S158" s="223">
        <f t="shared" si="240"/>
        <v>5</v>
      </c>
      <c r="T158" s="223">
        <f t="shared" si="241"/>
        <v>1.0372327044025158</v>
      </c>
      <c r="U158" s="223">
        <f t="shared" si="179"/>
        <v>2.5930817610062897</v>
      </c>
      <c r="V158" s="223">
        <f t="shared" si="180"/>
        <v>1.9570428384953134</v>
      </c>
      <c r="W158" s="203">
        <f t="shared" si="181"/>
        <v>350</v>
      </c>
      <c r="X158" s="454">
        <f t="shared" si="182"/>
        <v>219.77420137231732</v>
      </c>
      <c r="Z158" s="223">
        <f t="shared" si="183"/>
        <v>0.65130568356374818</v>
      </c>
      <c r="AA158" s="179">
        <f t="shared" si="184"/>
        <v>1.2288786482334872</v>
      </c>
      <c r="AB158" s="179">
        <f t="shared" si="242"/>
        <v>0.31593775579129196</v>
      </c>
      <c r="AC158" s="179"/>
      <c r="AD158" s="179">
        <f t="shared" si="186"/>
        <v>0.5660377358490567</v>
      </c>
      <c r="AE158" s="563">
        <f t="shared" si="243"/>
        <v>1884.4444444444441</v>
      </c>
      <c r="AF158" s="546">
        <f t="shared" si="244"/>
        <v>8.9150943396226423E-2</v>
      </c>
      <c r="AH158" s="179">
        <f t="shared" si="245"/>
        <v>0.77974354758471709</v>
      </c>
      <c r="AI158" s="179">
        <f t="shared" si="246"/>
        <v>1.0372327044025158</v>
      </c>
      <c r="AJ158" s="179">
        <f t="shared" si="247"/>
        <v>1.746098299557419</v>
      </c>
      <c r="AL158" s="563">
        <f t="shared" si="248"/>
        <v>480</v>
      </c>
      <c r="AM158" s="472">
        <f t="shared" si="249"/>
        <v>219.77420137231732</v>
      </c>
      <c r="AO158">
        <f t="shared" si="194"/>
        <v>480</v>
      </c>
      <c r="AP158">
        <f t="shared" si="195"/>
        <v>219.77420137231732</v>
      </c>
      <c r="AR158" s="6">
        <f t="shared" si="233"/>
        <v>4.5501245995016033</v>
      </c>
      <c r="AS158" s="6">
        <f t="shared" si="230"/>
        <v>2.5930817610062897</v>
      </c>
      <c r="AT158" s="6">
        <f t="shared" si="231"/>
        <v>1.9570428384953136</v>
      </c>
      <c r="AU158" s="179">
        <f t="shared" si="232"/>
        <v>0.56989247311827951</v>
      </c>
      <c r="AW158" s="6">
        <f t="shared" si="199"/>
        <v>24.893584905660383</v>
      </c>
      <c r="AX158" s="6">
        <f t="shared" si="200"/>
        <v>18.85877644368211</v>
      </c>
      <c r="AY158" s="6">
        <f t="shared" si="201"/>
        <v>0.36241534046209506</v>
      </c>
      <c r="AZ158" s="6"/>
      <c r="BA158" s="179">
        <f t="shared" si="202"/>
        <v>0.45207660721760928</v>
      </c>
      <c r="BB158" s="179">
        <f t="shared" si="203"/>
        <v>1.178217178666993</v>
      </c>
      <c r="BC158" s="179">
        <f t="shared" si="204"/>
        <v>0.57241717930238067</v>
      </c>
      <c r="BD158" s="179"/>
      <c r="BE158" s="546">
        <f t="shared" si="205"/>
        <v>7.1530640577684601E-2</v>
      </c>
      <c r="BF158" s="546">
        <f t="shared" si="206"/>
        <v>4.7699999999999979E-2</v>
      </c>
      <c r="BG158" s="546">
        <f t="shared" si="207"/>
        <v>2.7471775171539663E-3</v>
      </c>
      <c r="BH158" s="546">
        <f t="shared" si="208"/>
        <v>8.5537218045112773E-3</v>
      </c>
      <c r="BI158">
        <f t="shared" si="209"/>
        <v>3.48E-3</v>
      </c>
      <c r="BK158" s="472">
        <f t="shared" si="210"/>
        <v>134.01153989934983</v>
      </c>
      <c r="BL158" s="179">
        <f t="shared" si="211"/>
        <v>0.192</v>
      </c>
      <c r="BM158" s="179">
        <f t="shared" si="212"/>
        <v>9.6000000000000002E-2</v>
      </c>
      <c r="BN158" s="546"/>
      <c r="BP158" s="472">
        <f t="shared" si="213"/>
        <v>288.00000000000006</v>
      </c>
      <c r="BQ158" s="546">
        <f t="shared" si="214"/>
        <v>4.0874651758676918E-2</v>
      </c>
      <c r="BR158" s="546">
        <f t="shared" si="215"/>
        <v>5.5527828804240363E-2</v>
      </c>
      <c r="BS158" s="546">
        <f t="shared" si="216"/>
        <v>3.2766142716049385E-2</v>
      </c>
      <c r="BT158" s="546">
        <f t="shared" si="217"/>
        <v>3.9228552675452791E-2</v>
      </c>
      <c r="BU158" s="546"/>
      <c r="BV158" s="655">
        <f t="shared" si="250"/>
        <v>2.3644444444444447E-2</v>
      </c>
      <c r="BW158" s="472">
        <f t="shared" si="219"/>
        <v>192.04162039886387</v>
      </c>
      <c r="BX158" s="179">
        <f t="shared" si="220"/>
        <v>0.61405316029821377</v>
      </c>
      <c r="BY158" s="6">
        <f t="shared" si="221"/>
        <v>3.1919999999999997</v>
      </c>
      <c r="BZ158" s="179">
        <f t="shared" si="222"/>
        <v>0.8386640610531827</v>
      </c>
      <c r="CA158" s="6">
        <f t="shared" si="223"/>
        <v>83.866406105318276</v>
      </c>
      <c r="CB158">
        <f t="shared" si="224"/>
        <v>48</v>
      </c>
      <c r="CD158" s="581">
        <f t="shared" si="251"/>
        <v>-50</v>
      </c>
      <c r="CE158">
        <f t="shared" si="252"/>
        <v>-50</v>
      </c>
    </row>
    <row r="159" spans="5:83" x14ac:dyDescent="0.2">
      <c r="E159" s="176">
        <v>49</v>
      </c>
      <c r="F159" s="223">
        <f t="shared" si="253"/>
        <v>0.49</v>
      </c>
      <c r="G159" s="223">
        <f t="shared" si="234"/>
        <v>0.245</v>
      </c>
      <c r="H159" s="223">
        <f t="shared" si="235"/>
        <v>2.4500000000000002</v>
      </c>
      <c r="I159" s="223">
        <f t="shared" si="236"/>
        <v>0.8085</v>
      </c>
      <c r="J159" s="559">
        <f t="shared" si="171"/>
        <v>12</v>
      </c>
      <c r="K159" s="454">
        <f t="shared" si="172"/>
        <v>15.899999999999999</v>
      </c>
      <c r="L159" s="454">
        <f t="shared" si="173"/>
        <v>27.9</v>
      </c>
      <c r="M159" s="454"/>
      <c r="N159" s="223">
        <f t="shared" si="174"/>
        <v>0.56989247311827951</v>
      </c>
      <c r="O159" s="178">
        <f t="shared" si="237"/>
        <v>3.4707737084647103</v>
      </c>
      <c r="P159" s="178">
        <f t="shared" si="238"/>
        <v>1.5233225806451611</v>
      </c>
      <c r="Q159" s="223">
        <f t="shared" si="175"/>
        <v>0.69415474169294211</v>
      </c>
      <c r="R159" s="223">
        <f t="shared" si="239"/>
        <v>1.0517496086256699</v>
      </c>
      <c r="S159" s="223">
        <f t="shared" si="240"/>
        <v>5</v>
      </c>
      <c r="T159" s="223">
        <f t="shared" si="241"/>
        <v>1.0588417190775683</v>
      </c>
      <c r="U159" s="223">
        <f t="shared" si="179"/>
        <v>2.6471042976939207</v>
      </c>
      <c r="V159" s="223">
        <f t="shared" si="180"/>
        <v>1.9978145642972989</v>
      </c>
      <c r="W159" s="203">
        <f t="shared" si="181"/>
        <v>350</v>
      </c>
      <c r="X159" s="454">
        <f t="shared" si="182"/>
        <v>215.28901358920882</v>
      </c>
      <c r="Z159" s="223">
        <f t="shared" si="183"/>
        <v>0.65130568356374818</v>
      </c>
      <c r="AA159" s="179">
        <f t="shared" si="184"/>
        <v>1.2288786482334872</v>
      </c>
      <c r="AB159" s="179">
        <f t="shared" si="242"/>
        <v>0.31593775579129196</v>
      </c>
      <c r="AC159" s="179"/>
      <c r="AD159" s="179">
        <f t="shared" si="186"/>
        <v>0.5660377358490567</v>
      </c>
      <c r="AE159" s="563">
        <f t="shared" si="243"/>
        <v>1923.7037037037037</v>
      </c>
      <c r="AF159" s="546">
        <f t="shared" si="244"/>
        <v>8.9150943396226423E-2</v>
      </c>
      <c r="AH159" s="179">
        <f t="shared" si="245"/>
        <v>0.78782400741959291</v>
      </c>
      <c r="AI159" s="179">
        <f t="shared" si="246"/>
        <v>1.0588417190775683</v>
      </c>
      <c r="AJ159" s="179">
        <f t="shared" si="247"/>
        <v>1.762104977094495</v>
      </c>
      <c r="AL159" s="563">
        <f t="shared" si="248"/>
        <v>490</v>
      </c>
      <c r="AM159" s="472">
        <f t="shared" si="249"/>
        <v>215.28901358920882</v>
      </c>
      <c r="AO159">
        <f t="shared" si="194"/>
        <v>490</v>
      </c>
      <c r="AP159">
        <f t="shared" si="195"/>
        <v>215.28901358920882</v>
      </c>
      <c r="AR159" s="6">
        <f t="shared" si="233"/>
        <v>4.6449188619912194</v>
      </c>
      <c r="AS159" s="6">
        <f t="shared" si="230"/>
        <v>2.6471042976939207</v>
      </c>
      <c r="AT159" s="6">
        <f t="shared" si="231"/>
        <v>1.9978145642972986</v>
      </c>
      <c r="AU159" s="179">
        <f t="shared" si="232"/>
        <v>0.56989247311827962</v>
      </c>
      <c r="AW159" s="6">
        <f t="shared" si="199"/>
        <v>25.941622117400424</v>
      </c>
      <c r="AX159" s="6">
        <f t="shared" si="200"/>
        <v>19.652744028333654</v>
      </c>
      <c r="AY159" s="6">
        <f t="shared" si="201"/>
        <v>0.37767327797286893</v>
      </c>
      <c r="AZ159" s="6"/>
      <c r="BA159" s="179">
        <f t="shared" si="202"/>
        <v>0.46149486986797628</v>
      </c>
      <c r="BB159" s="179">
        <f t="shared" si="203"/>
        <v>1.2027633698892219</v>
      </c>
      <c r="BC159" s="179">
        <f t="shared" si="204"/>
        <v>0.58434253720451357</v>
      </c>
      <c r="BD159" s="179"/>
      <c r="BE159" s="546">
        <f t="shared" si="205"/>
        <v>7.454213022006112E-2</v>
      </c>
      <c r="BF159" s="546">
        <f t="shared" si="206"/>
        <v>4.7699999999999992E-2</v>
      </c>
      <c r="BG159" s="546">
        <f t="shared" si="207"/>
        <v>2.6911126698651098E-3</v>
      </c>
      <c r="BH159" s="546">
        <f t="shared" si="208"/>
        <v>8.3791560533988032E-3</v>
      </c>
      <c r="BI159">
        <f t="shared" si="209"/>
        <v>3.48E-3</v>
      </c>
      <c r="BK159" s="472">
        <f t="shared" si="210"/>
        <v>136.79239894332503</v>
      </c>
      <c r="BL159" s="179">
        <f t="shared" si="211"/>
        <v>0.19600000000000001</v>
      </c>
      <c r="BM159" s="179">
        <f t="shared" si="212"/>
        <v>9.8000000000000004E-2</v>
      </c>
      <c r="BN159" s="546"/>
      <c r="BP159" s="472">
        <f t="shared" si="213"/>
        <v>294.00000000000006</v>
      </c>
      <c r="BQ159" s="546">
        <f t="shared" si="214"/>
        <v>4.2595502982892074E-2</v>
      </c>
      <c r="BR159" s="546">
        <f t="shared" si="215"/>
        <v>5.7865588957891088E-2</v>
      </c>
      <c r="BS159" s="546">
        <f t="shared" si="216"/>
        <v>3.4145620078660836E-2</v>
      </c>
      <c r="BT159" s="546">
        <f t="shared" si="217"/>
        <v>3.9228552675452853E-2</v>
      </c>
      <c r="BU159" s="546"/>
      <c r="BV159" s="655">
        <f t="shared" si="250"/>
        <v>2.4137037037037044E-2</v>
      </c>
      <c r="BW159" s="472">
        <f t="shared" si="219"/>
        <v>197.9723017319339</v>
      </c>
      <c r="BX159" s="179">
        <f t="shared" si="220"/>
        <v>0.62876470067525891</v>
      </c>
      <c r="BY159" s="6">
        <f t="shared" si="221"/>
        <v>3.2585000000000002</v>
      </c>
      <c r="BZ159" s="179">
        <f t="shared" si="222"/>
        <v>0.83825009380862692</v>
      </c>
      <c r="CA159" s="6">
        <f t="shared" si="223"/>
        <v>83.825009380862696</v>
      </c>
      <c r="CB159">
        <f t="shared" si="224"/>
        <v>49</v>
      </c>
      <c r="CD159" s="581">
        <f t="shared" si="251"/>
        <v>-50</v>
      </c>
      <c r="CE159">
        <f t="shared" si="252"/>
        <v>-50</v>
      </c>
    </row>
    <row r="160" spans="5:83" x14ac:dyDescent="0.2">
      <c r="E160" s="176">
        <v>50</v>
      </c>
      <c r="F160" s="223">
        <f t="shared" si="253"/>
        <v>0.5</v>
      </c>
      <c r="G160" s="223">
        <f t="shared" si="234"/>
        <v>0.25</v>
      </c>
      <c r="H160" s="223">
        <f t="shared" si="235"/>
        <v>2.5</v>
      </c>
      <c r="I160" s="223">
        <f t="shared" si="236"/>
        <v>0.82499999999999996</v>
      </c>
      <c r="J160" s="559">
        <f t="shared" si="171"/>
        <v>12</v>
      </c>
      <c r="K160" s="454">
        <f t="shared" si="172"/>
        <v>15.899999999999999</v>
      </c>
      <c r="L160" s="454">
        <f t="shared" si="173"/>
        <v>27.9</v>
      </c>
      <c r="M160" s="454"/>
      <c r="N160" s="223">
        <f t="shared" si="174"/>
        <v>0.56989247311827951</v>
      </c>
      <c r="O160" s="178">
        <f t="shared" si="237"/>
        <v>3.4707737084647103</v>
      </c>
      <c r="P160" s="178">
        <f t="shared" si="238"/>
        <v>1.5233225806451611</v>
      </c>
      <c r="Q160" s="223">
        <f t="shared" si="175"/>
        <v>0.69415474169294211</v>
      </c>
      <c r="R160" s="223">
        <f t="shared" si="239"/>
        <v>1.0517496086256699</v>
      </c>
      <c r="S160" s="223">
        <f t="shared" si="240"/>
        <v>5</v>
      </c>
      <c r="T160" s="223">
        <f t="shared" si="241"/>
        <v>1.0804507337526208</v>
      </c>
      <c r="U160" s="223">
        <f t="shared" si="179"/>
        <v>2.7011268343815522</v>
      </c>
      <c r="V160" s="223">
        <f t="shared" si="180"/>
        <v>2.038586290099285</v>
      </c>
      <c r="W160" s="203">
        <f t="shared" si="181"/>
        <v>350</v>
      </c>
      <c r="X160" s="454">
        <f t="shared" si="182"/>
        <v>210.98323331742461</v>
      </c>
      <c r="Z160" s="223">
        <f t="shared" si="183"/>
        <v>0.65130568356374818</v>
      </c>
      <c r="AA160" s="179">
        <f t="shared" si="184"/>
        <v>1.2288786482334872</v>
      </c>
      <c r="AB160" s="179">
        <f t="shared" si="242"/>
        <v>0.31593775579129196</v>
      </c>
      <c r="AC160" s="179"/>
      <c r="AD160" s="179">
        <f t="shared" si="186"/>
        <v>0.5660377358490567</v>
      </c>
      <c r="AE160" s="563">
        <f t="shared" si="243"/>
        <v>1962.9629629629628</v>
      </c>
      <c r="AF160" s="546">
        <f t="shared" si="244"/>
        <v>8.9150943396226423E-2</v>
      </c>
      <c r="AH160" s="179">
        <f t="shared" si="245"/>
        <v>0.79582242575422146</v>
      </c>
      <c r="AI160" s="179">
        <f t="shared" si="246"/>
        <v>1.0804507337526208</v>
      </c>
      <c r="AJ160" s="179">
        <f t="shared" si="247"/>
        <v>1.7781116546315707</v>
      </c>
      <c r="AL160" s="563">
        <f t="shared" si="248"/>
        <v>500</v>
      </c>
      <c r="AM160" s="472">
        <f t="shared" si="249"/>
        <v>210.98323331742461</v>
      </c>
      <c r="AO160">
        <f t="shared" si="194"/>
        <v>500</v>
      </c>
      <c r="AP160">
        <f t="shared" si="195"/>
        <v>210.98323331742461</v>
      </c>
      <c r="AR160" s="6">
        <f t="shared" si="233"/>
        <v>4.7397131244808364</v>
      </c>
      <c r="AS160" s="6">
        <f t="shared" si="230"/>
        <v>2.7011268343815522</v>
      </c>
      <c r="AT160" s="6">
        <f t="shared" si="231"/>
        <v>2.0385862900992842</v>
      </c>
      <c r="AU160" s="179">
        <f t="shared" si="232"/>
        <v>0.56989247311827962</v>
      </c>
      <c r="AW160" s="6">
        <f t="shared" si="199"/>
        <v>27.011268343815523</v>
      </c>
      <c r="AX160" s="6">
        <f t="shared" si="200"/>
        <v>20.463082078648124</v>
      </c>
      <c r="AY160" s="6">
        <f t="shared" si="201"/>
        <v>0.39324581213334953</v>
      </c>
      <c r="AZ160" s="6"/>
      <c r="BA160" s="179">
        <f t="shared" si="202"/>
        <v>0.47091313251834316</v>
      </c>
      <c r="BB160" s="179">
        <f t="shared" si="203"/>
        <v>1.2273095611114511</v>
      </c>
      <c r="BC160" s="179">
        <f t="shared" si="204"/>
        <v>0.59626789510664657</v>
      </c>
      <c r="BD160" s="179"/>
      <c r="BE160" s="546">
        <f t="shared" si="205"/>
        <v>7.7615712432383521E-2</v>
      </c>
      <c r="BF160" s="546">
        <f t="shared" si="206"/>
        <v>4.7699999999999985E-2</v>
      </c>
      <c r="BG160" s="546">
        <f t="shared" si="207"/>
        <v>2.6372904164678073E-3</v>
      </c>
      <c r="BH160" s="546">
        <f t="shared" si="208"/>
        <v>8.211572932330824E-3</v>
      </c>
      <c r="BI160">
        <f t="shared" si="209"/>
        <v>3.48E-3</v>
      </c>
      <c r="BK160" s="472">
        <f t="shared" si="210"/>
        <v>139.64457578118217</v>
      </c>
      <c r="BL160" s="179">
        <f t="shared" si="211"/>
        <v>0.2</v>
      </c>
      <c r="BM160" s="179">
        <f t="shared" si="212"/>
        <v>0.1</v>
      </c>
      <c r="BN160" s="546"/>
      <c r="BP160" s="472">
        <f t="shared" si="213"/>
        <v>300.00000000000006</v>
      </c>
      <c r="BQ160" s="546">
        <f t="shared" si="214"/>
        <v>4.4351835675647731E-2</v>
      </c>
      <c r="BR160" s="546">
        <f t="shared" si="215"/>
        <v>6.0251550351823308E-2</v>
      </c>
      <c r="BS160" s="546">
        <f t="shared" si="216"/>
        <v>3.5553540273491085E-2</v>
      </c>
      <c r="BT160" s="546">
        <f t="shared" si="217"/>
        <v>3.9228552675452777E-2</v>
      </c>
      <c r="BU160" s="546"/>
      <c r="BV160" s="655">
        <f t="shared" si="250"/>
        <v>2.4629629629629637E-2</v>
      </c>
      <c r="BW160" s="472">
        <f t="shared" si="219"/>
        <v>204.01510860604455</v>
      </c>
      <c r="BX160" s="179">
        <f t="shared" si="220"/>
        <v>0.64365968438722676</v>
      </c>
      <c r="BY160" s="6">
        <f t="shared" si="221"/>
        <v>3.3250000000000002</v>
      </c>
      <c r="BZ160" s="179">
        <f t="shared" si="222"/>
        <v>0.83781434147165734</v>
      </c>
      <c r="CA160" s="6">
        <f t="shared" si="223"/>
        <v>83.78143414716574</v>
      </c>
      <c r="CB160">
        <f t="shared" si="224"/>
        <v>50</v>
      </c>
      <c r="CD160" s="581">
        <f t="shared" si="251"/>
        <v>-50</v>
      </c>
      <c r="CE160">
        <f t="shared" si="252"/>
        <v>-50</v>
      </c>
    </row>
    <row r="161" spans="5:83" x14ac:dyDescent="0.2">
      <c r="E161" s="176">
        <v>51</v>
      </c>
      <c r="F161" s="223">
        <f t="shared" si="253"/>
        <v>0.51</v>
      </c>
      <c r="G161" s="223">
        <f t="shared" si="234"/>
        <v>0.255</v>
      </c>
      <c r="H161" s="223">
        <f t="shared" si="235"/>
        <v>2.5499999999999998</v>
      </c>
      <c r="I161" s="223">
        <f t="shared" si="236"/>
        <v>0.84149999999999991</v>
      </c>
      <c r="J161" s="559">
        <f t="shared" si="171"/>
        <v>12</v>
      </c>
      <c r="K161" s="454">
        <f t="shared" si="172"/>
        <v>15.899999999999999</v>
      </c>
      <c r="L161" s="454">
        <f t="shared" si="173"/>
        <v>27.9</v>
      </c>
      <c r="M161" s="454"/>
      <c r="N161" s="223">
        <f t="shared" si="174"/>
        <v>0.56989247311827951</v>
      </c>
      <c r="O161" s="178">
        <f t="shared" si="237"/>
        <v>3.4707737084647103</v>
      </c>
      <c r="P161" s="178">
        <f t="shared" si="238"/>
        <v>1.5233225806451611</v>
      </c>
      <c r="Q161" s="223">
        <f t="shared" si="175"/>
        <v>0.69415474169294211</v>
      </c>
      <c r="R161" s="223">
        <f t="shared" si="239"/>
        <v>1.0517496086256699</v>
      </c>
      <c r="S161" s="223">
        <f t="shared" si="240"/>
        <v>5</v>
      </c>
      <c r="T161" s="223">
        <f t="shared" si="241"/>
        <v>1.1020597484276731</v>
      </c>
      <c r="U161" s="223">
        <f t="shared" si="179"/>
        <v>2.7551493710691823</v>
      </c>
      <c r="V161" s="223">
        <f t="shared" si="180"/>
        <v>2.0793580159012701</v>
      </c>
      <c r="W161" s="203">
        <f t="shared" si="181"/>
        <v>350</v>
      </c>
      <c r="X161" s="454">
        <f t="shared" si="182"/>
        <v>206.84630717394575</v>
      </c>
      <c r="Z161" s="223">
        <f t="shared" si="183"/>
        <v>0.65130568356374818</v>
      </c>
      <c r="AA161" s="179">
        <f t="shared" si="184"/>
        <v>1.2288786482334872</v>
      </c>
      <c r="AB161" s="179">
        <f t="shared" si="242"/>
        <v>0.31593775579129196</v>
      </c>
      <c r="AC161" s="179"/>
      <c r="AD161" s="179">
        <f t="shared" si="186"/>
        <v>0.5660377358490567</v>
      </c>
      <c r="AE161" s="563">
        <f t="shared" si="243"/>
        <v>2002.2222222222219</v>
      </c>
      <c r="AF161" s="546">
        <f t="shared" si="244"/>
        <v>8.9150943396226423E-2</v>
      </c>
      <c r="AH161" s="179">
        <f t="shared" si="245"/>
        <v>0.80374125189640477</v>
      </c>
      <c r="AI161" s="179">
        <f t="shared" si="246"/>
        <v>1.1020597484276731</v>
      </c>
      <c r="AJ161" s="179">
        <f t="shared" si="247"/>
        <v>1.7941183321686465</v>
      </c>
      <c r="AL161" s="563">
        <f t="shared" si="248"/>
        <v>510</v>
      </c>
      <c r="AM161" s="472">
        <f t="shared" si="249"/>
        <v>206.84630717394575</v>
      </c>
      <c r="AO161">
        <f t="shared" si="194"/>
        <v>510</v>
      </c>
      <c r="AP161">
        <f t="shared" si="195"/>
        <v>206.84630717394575</v>
      </c>
      <c r="AR161" s="6">
        <f t="shared" si="233"/>
        <v>4.8345073869704525</v>
      </c>
      <c r="AS161" s="6">
        <f t="shared" si="230"/>
        <v>2.7551493710691823</v>
      </c>
      <c r="AT161" s="6">
        <f t="shared" si="231"/>
        <v>2.0793580159012701</v>
      </c>
      <c r="AU161" s="179">
        <f t="shared" si="232"/>
        <v>0.56989247311827951</v>
      </c>
      <c r="AW161" s="6">
        <f t="shared" si="199"/>
        <v>28.102523584905658</v>
      </c>
      <c r="AX161" s="6">
        <f t="shared" si="200"/>
        <v>21.289790594625497</v>
      </c>
      <c r="AY161" s="6">
        <f t="shared" si="201"/>
        <v>0.4091329429435368</v>
      </c>
      <c r="AZ161" s="6"/>
      <c r="BA161" s="179">
        <f t="shared" si="202"/>
        <v>0.48033139516870987</v>
      </c>
      <c r="BB161" s="179">
        <f t="shared" si="203"/>
        <v>1.25185575233368</v>
      </c>
      <c r="BC161" s="179">
        <f t="shared" si="204"/>
        <v>0.60819325300877958</v>
      </c>
      <c r="BD161" s="179"/>
      <c r="BE161" s="546">
        <f t="shared" si="205"/>
        <v>8.0751387214651749E-2</v>
      </c>
      <c r="BF161" s="546">
        <f t="shared" si="206"/>
        <v>4.7699999999999992E-2</v>
      </c>
      <c r="BG161" s="546">
        <f t="shared" si="207"/>
        <v>2.5855788396743217E-3</v>
      </c>
      <c r="BH161" s="546">
        <f t="shared" si="208"/>
        <v>8.0505616983635557E-3</v>
      </c>
      <c r="BI161">
        <f t="shared" si="209"/>
        <v>3.48E-3</v>
      </c>
      <c r="BK161" s="472">
        <f t="shared" si="210"/>
        <v>142.56752775268964</v>
      </c>
      <c r="BL161" s="179">
        <f t="shared" si="211"/>
        <v>0.20400000000000001</v>
      </c>
      <c r="BM161" s="179">
        <f t="shared" si="212"/>
        <v>0.10200000000000001</v>
      </c>
      <c r="BN161" s="546"/>
      <c r="BP161" s="472">
        <f t="shared" si="213"/>
        <v>306.00000000000006</v>
      </c>
      <c r="BQ161" s="546">
        <f t="shared" si="214"/>
        <v>4.6143649836943863E-2</v>
      </c>
      <c r="BR161" s="546">
        <f t="shared" si="215"/>
        <v>6.2685712986036951E-2</v>
      </c>
      <c r="BS161" s="546">
        <f t="shared" si="216"/>
        <v>3.6989903300540139E-2</v>
      </c>
      <c r="BT161" s="546">
        <f t="shared" si="217"/>
        <v>3.922855267545277E-2</v>
      </c>
      <c r="BU161" s="546"/>
      <c r="BV161" s="655">
        <f t="shared" si="250"/>
        <v>2.512222222222223E-2</v>
      </c>
      <c r="BW161" s="472">
        <f t="shared" si="219"/>
        <v>210.17004102119597</v>
      </c>
      <c r="BX161" s="179">
        <f t="shared" si="220"/>
        <v>0.65873756877388567</v>
      </c>
      <c r="BY161" s="6">
        <f t="shared" si="221"/>
        <v>3.3914999999999997</v>
      </c>
      <c r="BZ161" s="179">
        <f t="shared" si="222"/>
        <v>0.83735828884395458</v>
      </c>
      <c r="CA161" s="6">
        <f t="shared" si="223"/>
        <v>83.73582888439546</v>
      </c>
      <c r="CB161">
        <f t="shared" si="224"/>
        <v>51</v>
      </c>
      <c r="CD161" s="581">
        <f t="shared" si="251"/>
        <v>-50</v>
      </c>
      <c r="CE161">
        <f t="shared" si="252"/>
        <v>-50</v>
      </c>
    </row>
    <row r="162" spans="5:83" x14ac:dyDescent="0.2">
      <c r="E162" s="176">
        <v>52</v>
      </c>
      <c r="F162" s="223">
        <f t="shared" si="253"/>
        <v>0.52</v>
      </c>
      <c r="G162" s="223">
        <f t="shared" si="234"/>
        <v>0.26</v>
      </c>
      <c r="H162" s="223">
        <f t="shared" si="235"/>
        <v>2.6</v>
      </c>
      <c r="I162" s="223">
        <f t="shared" si="236"/>
        <v>0.85799999999999998</v>
      </c>
      <c r="J162" s="559">
        <f t="shared" si="171"/>
        <v>12</v>
      </c>
      <c r="K162" s="454">
        <f t="shared" si="172"/>
        <v>15.899999999999999</v>
      </c>
      <c r="L162" s="454">
        <f t="shared" si="173"/>
        <v>27.9</v>
      </c>
      <c r="M162" s="454"/>
      <c r="N162" s="223">
        <f t="shared" si="174"/>
        <v>0.56989247311827951</v>
      </c>
      <c r="O162" s="178">
        <f t="shared" si="237"/>
        <v>3.4707737084647103</v>
      </c>
      <c r="P162" s="178">
        <f t="shared" si="238"/>
        <v>1.5233225806451611</v>
      </c>
      <c r="Q162" s="223">
        <f t="shared" si="175"/>
        <v>0.69415474169294211</v>
      </c>
      <c r="R162" s="223">
        <f t="shared" si="239"/>
        <v>1.0517496086256699</v>
      </c>
      <c r="S162" s="223">
        <f t="shared" si="240"/>
        <v>5</v>
      </c>
      <c r="T162" s="223">
        <f t="shared" si="241"/>
        <v>1.1236687631027256</v>
      </c>
      <c r="U162" s="223">
        <f t="shared" si="179"/>
        <v>2.8091719077568142</v>
      </c>
      <c r="V162" s="223">
        <f t="shared" si="180"/>
        <v>2.1201297417032561</v>
      </c>
      <c r="W162" s="203">
        <f t="shared" si="181"/>
        <v>350</v>
      </c>
      <c r="X162" s="454">
        <f t="shared" si="182"/>
        <v>202.86849357444675</v>
      </c>
      <c r="Z162" s="223">
        <f t="shared" si="183"/>
        <v>0.65130568356374818</v>
      </c>
      <c r="AA162" s="179">
        <f t="shared" si="184"/>
        <v>1.2288786482334872</v>
      </c>
      <c r="AB162" s="179">
        <f t="shared" si="242"/>
        <v>0.31593775579129196</v>
      </c>
      <c r="AC162" s="179"/>
      <c r="AD162" s="179">
        <f t="shared" si="186"/>
        <v>0.5660377358490567</v>
      </c>
      <c r="AE162" s="563">
        <f t="shared" si="243"/>
        <v>2041.4814814814811</v>
      </c>
      <c r="AF162" s="546">
        <f t="shared" si="244"/>
        <v>8.9150943396226423E-2</v>
      </c>
      <c r="AH162" s="179">
        <f t="shared" si="245"/>
        <v>0.81158281565510415</v>
      </c>
      <c r="AI162" s="179">
        <f t="shared" si="246"/>
        <v>1.1236687631027256</v>
      </c>
      <c r="AJ162" s="179">
        <f t="shared" si="247"/>
        <v>1.8101250097057227</v>
      </c>
      <c r="AL162" s="563">
        <f t="shared" si="248"/>
        <v>520</v>
      </c>
      <c r="AM162" s="472">
        <f t="shared" si="249"/>
        <v>202.86849357444675</v>
      </c>
      <c r="AO162">
        <f t="shared" si="194"/>
        <v>520</v>
      </c>
      <c r="AP162">
        <f t="shared" si="195"/>
        <v>202.86849357444675</v>
      </c>
      <c r="AR162" s="6">
        <f t="shared" si="233"/>
        <v>4.9293016494600703</v>
      </c>
      <c r="AS162" s="6">
        <f t="shared" si="230"/>
        <v>2.8091719077568142</v>
      </c>
      <c r="AT162" s="6">
        <f t="shared" si="231"/>
        <v>2.1201297417032561</v>
      </c>
      <c r="AU162" s="179">
        <f t="shared" si="232"/>
        <v>0.56989247311827962</v>
      </c>
      <c r="AW162" s="6">
        <f t="shared" si="199"/>
        <v>29.215387840670868</v>
      </c>
      <c r="AX162" s="6">
        <f t="shared" si="200"/>
        <v>22.132869576265808</v>
      </c>
      <c r="AY162" s="6">
        <f t="shared" si="201"/>
        <v>0.42533467040343093</v>
      </c>
      <c r="AZ162" s="6"/>
      <c r="BA162" s="179">
        <f t="shared" si="202"/>
        <v>0.48974965781907687</v>
      </c>
      <c r="BB162" s="179">
        <f t="shared" si="203"/>
        <v>1.2764019435559091</v>
      </c>
      <c r="BC162" s="179">
        <f t="shared" si="204"/>
        <v>0.62011861091091236</v>
      </c>
      <c r="BD162" s="179"/>
      <c r="BE162" s="546">
        <f t="shared" si="205"/>
        <v>8.3949154566865997E-2</v>
      </c>
      <c r="BF162" s="546">
        <f t="shared" si="206"/>
        <v>4.7699999999999985E-2</v>
      </c>
      <c r="BG162" s="546">
        <f t="shared" si="207"/>
        <v>2.5358561696805842E-3</v>
      </c>
      <c r="BH162" s="546">
        <f t="shared" si="208"/>
        <v>7.8957432041642552E-3</v>
      </c>
      <c r="BI162">
        <f t="shared" si="209"/>
        <v>3.48E-3</v>
      </c>
      <c r="BK162" s="472">
        <f t="shared" si="210"/>
        <v>145.56075394071084</v>
      </c>
      <c r="BL162" s="179">
        <f t="shared" si="211"/>
        <v>0.20800000000000002</v>
      </c>
      <c r="BM162" s="179">
        <f t="shared" si="212"/>
        <v>0.10400000000000001</v>
      </c>
      <c r="BN162" s="546"/>
      <c r="BP162" s="472">
        <f t="shared" si="213"/>
        <v>312.00000000000006</v>
      </c>
      <c r="BQ162" s="546">
        <f t="shared" si="214"/>
        <v>4.7970945466780573E-2</v>
      </c>
      <c r="BR162" s="546">
        <f t="shared" si="215"/>
        <v>6.5168076860532081E-2</v>
      </c>
      <c r="BS162" s="546">
        <f t="shared" si="216"/>
        <v>3.8454709159807955E-2</v>
      </c>
      <c r="BT162" s="546">
        <f t="shared" si="217"/>
        <v>3.922855267545277E-2</v>
      </c>
      <c r="BU162" s="546"/>
      <c r="BV162" s="655">
        <f t="shared" si="250"/>
        <v>2.5614814814814823E-2</v>
      </c>
      <c r="BW162" s="472">
        <f t="shared" si="219"/>
        <v>216.43709897738819</v>
      </c>
      <c r="BX162" s="179">
        <f t="shared" si="220"/>
        <v>0.67399785291809911</v>
      </c>
      <c r="BY162" s="6">
        <f t="shared" si="221"/>
        <v>3.4580000000000002</v>
      </c>
      <c r="BZ162" s="179">
        <f t="shared" si="222"/>
        <v>0.83688330030420799</v>
      </c>
      <c r="CA162" s="6">
        <f t="shared" si="223"/>
        <v>83.688330030420801</v>
      </c>
      <c r="CB162">
        <f t="shared" si="224"/>
        <v>52</v>
      </c>
      <c r="CD162" s="581">
        <f t="shared" si="251"/>
        <v>-50</v>
      </c>
      <c r="CE162">
        <f t="shared" si="252"/>
        <v>-50</v>
      </c>
    </row>
    <row r="163" spans="5:83" x14ac:dyDescent="0.2">
      <c r="E163" s="176">
        <v>53</v>
      </c>
      <c r="F163" s="223">
        <f t="shared" si="253"/>
        <v>0.53</v>
      </c>
      <c r="G163" s="223">
        <f t="shared" si="234"/>
        <v>0.26500000000000001</v>
      </c>
      <c r="H163" s="223">
        <f t="shared" si="235"/>
        <v>2.6500000000000004</v>
      </c>
      <c r="I163" s="223">
        <f t="shared" si="236"/>
        <v>0.87449999999999994</v>
      </c>
      <c r="J163" s="559">
        <f t="shared" si="171"/>
        <v>12</v>
      </c>
      <c r="K163" s="454">
        <f t="shared" si="172"/>
        <v>15.899999999999999</v>
      </c>
      <c r="L163" s="454">
        <f t="shared" si="173"/>
        <v>27.9</v>
      </c>
      <c r="M163" s="454"/>
      <c r="N163" s="223">
        <f t="shared" si="174"/>
        <v>0.56989247311827951</v>
      </c>
      <c r="O163" s="178">
        <f t="shared" si="237"/>
        <v>3.4707737084647103</v>
      </c>
      <c r="P163" s="178">
        <f t="shared" si="238"/>
        <v>1.5233225806451611</v>
      </c>
      <c r="Q163" s="223">
        <f t="shared" si="175"/>
        <v>0.69415474169294211</v>
      </c>
      <c r="R163" s="223">
        <f t="shared" si="239"/>
        <v>1.0517496086256699</v>
      </c>
      <c r="S163" s="223">
        <f t="shared" si="240"/>
        <v>5</v>
      </c>
      <c r="T163" s="223">
        <f t="shared" si="241"/>
        <v>1.1452777777777778</v>
      </c>
      <c r="U163" s="223">
        <f t="shared" si="179"/>
        <v>2.8631944444444444</v>
      </c>
      <c r="V163" s="223">
        <f t="shared" si="180"/>
        <v>2.1609014675052416</v>
      </c>
      <c r="W163" s="203">
        <f t="shared" si="181"/>
        <v>350</v>
      </c>
      <c r="X163" s="454">
        <f t="shared" si="182"/>
        <v>199.0407861485138</v>
      </c>
      <c r="Z163" s="223">
        <f t="shared" si="183"/>
        <v>0.65130568356374818</v>
      </c>
      <c r="AA163" s="179">
        <f t="shared" si="184"/>
        <v>1.2288786482334872</v>
      </c>
      <c r="AB163" s="179">
        <f t="shared" si="242"/>
        <v>0.31593775579129196</v>
      </c>
      <c r="AC163" s="179"/>
      <c r="AD163" s="179">
        <f t="shared" si="186"/>
        <v>0.5660377358490567</v>
      </c>
      <c r="AE163" s="563">
        <f t="shared" si="243"/>
        <v>2080.7407407407404</v>
      </c>
      <c r="AF163" s="546">
        <f t="shared" si="244"/>
        <v>8.9150943396226423E-2</v>
      </c>
      <c r="AH163" s="179">
        <f t="shared" si="245"/>
        <v>0.81934933534685517</v>
      </c>
      <c r="AI163" s="179">
        <f t="shared" si="246"/>
        <v>1.1452777777777778</v>
      </c>
      <c r="AJ163" s="179">
        <f t="shared" si="247"/>
        <v>1.8261316872427984</v>
      </c>
      <c r="AL163" s="563">
        <f t="shared" si="248"/>
        <v>530</v>
      </c>
      <c r="AM163" s="472">
        <f t="shared" si="249"/>
        <v>199.0407861485138</v>
      </c>
      <c r="AO163">
        <f t="shared" si="194"/>
        <v>530</v>
      </c>
      <c r="AP163">
        <f t="shared" si="195"/>
        <v>199.0407861485138</v>
      </c>
      <c r="AR163" s="6">
        <f t="shared" si="233"/>
        <v>5.0240959119496873</v>
      </c>
      <c r="AS163" s="6">
        <f t="shared" si="230"/>
        <v>2.8631944444444444</v>
      </c>
      <c r="AT163" s="6">
        <f t="shared" si="231"/>
        <v>2.1609014675052429</v>
      </c>
      <c r="AU163" s="179">
        <f t="shared" si="232"/>
        <v>0.5698924731182794</v>
      </c>
      <c r="AW163" s="6">
        <f t="shared" si="199"/>
        <v>30.349861111111114</v>
      </c>
      <c r="AX163" s="6">
        <f t="shared" si="200"/>
        <v>22.992319023569024</v>
      </c>
      <c r="AY163" s="6">
        <f t="shared" si="201"/>
        <v>0.44185099451303189</v>
      </c>
      <c r="AZ163" s="6"/>
      <c r="BA163" s="179">
        <f t="shared" si="202"/>
        <v>0.49916792046944353</v>
      </c>
      <c r="BB163" s="179">
        <f t="shared" si="203"/>
        <v>1.3009481347781382</v>
      </c>
      <c r="BC163" s="179">
        <f t="shared" si="204"/>
        <v>0.63204396881304536</v>
      </c>
      <c r="BD163" s="179"/>
      <c r="BE163" s="546">
        <f t="shared" si="205"/>
        <v>8.7209014489026043E-2</v>
      </c>
      <c r="BF163" s="546">
        <f t="shared" si="206"/>
        <v>4.7699999999999985E-2</v>
      </c>
      <c r="BG163" s="546">
        <f t="shared" si="207"/>
        <v>2.4880098268564221E-3</v>
      </c>
      <c r="BH163" s="546">
        <f t="shared" si="208"/>
        <v>7.7467669172932314E-3</v>
      </c>
      <c r="BI163">
        <f t="shared" si="209"/>
        <v>3.48E-3</v>
      </c>
      <c r="BK163" s="472">
        <f t="shared" si="210"/>
        <v>148.62379123317569</v>
      </c>
      <c r="BL163" s="179">
        <f t="shared" si="211"/>
        <v>0.21200000000000002</v>
      </c>
      <c r="BM163" s="179">
        <f t="shared" si="212"/>
        <v>0.10600000000000001</v>
      </c>
      <c r="BN163" s="546"/>
      <c r="BP163" s="472">
        <f t="shared" si="213"/>
        <v>318.00000000000006</v>
      </c>
      <c r="BQ163" s="546">
        <f t="shared" si="214"/>
        <v>4.9833722565157744E-2</v>
      </c>
      <c r="BR163" s="546">
        <f t="shared" si="215"/>
        <v>6.7698641975308671E-2</v>
      </c>
      <c r="BS163" s="546">
        <f t="shared" si="216"/>
        <v>3.994795785129459E-2</v>
      </c>
      <c r="BT163" s="546">
        <f t="shared" si="217"/>
        <v>3.9228552675452784E-2</v>
      </c>
      <c r="BU163" s="546"/>
      <c r="BV163" s="655">
        <f t="shared" si="250"/>
        <v>2.6107407407407406E-2</v>
      </c>
      <c r="BW163" s="472">
        <f t="shared" si="219"/>
        <v>222.8162824746212</v>
      </c>
      <c r="BX163" s="179">
        <f t="shared" si="220"/>
        <v>0.68944007370779681</v>
      </c>
      <c r="BY163" s="6">
        <f t="shared" si="221"/>
        <v>3.5245000000000002</v>
      </c>
      <c r="BZ163" s="179">
        <f t="shared" si="222"/>
        <v>0.83639063165386529</v>
      </c>
      <c r="CA163" s="6">
        <f t="shared" si="223"/>
        <v>83.639063165386531</v>
      </c>
      <c r="CB163">
        <f t="shared" si="224"/>
        <v>53</v>
      </c>
      <c r="CD163" s="581">
        <f t="shared" si="251"/>
        <v>-50</v>
      </c>
      <c r="CE163">
        <f t="shared" si="252"/>
        <v>-50</v>
      </c>
    </row>
    <row r="164" spans="5:83" x14ac:dyDescent="0.2">
      <c r="E164" s="176">
        <v>54</v>
      </c>
      <c r="F164" s="223">
        <f t="shared" si="253"/>
        <v>0.54</v>
      </c>
      <c r="G164" s="223">
        <f t="shared" si="234"/>
        <v>0.27</v>
      </c>
      <c r="H164" s="223">
        <f t="shared" si="235"/>
        <v>2.7</v>
      </c>
      <c r="I164" s="223">
        <f t="shared" si="236"/>
        <v>0.89100000000000001</v>
      </c>
      <c r="J164" s="559">
        <f t="shared" si="171"/>
        <v>12</v>
      </c>
      <c r="K164" s="454">
        <f t="shared" si="172"/>
        <v>15.899999999999999</v>
      </c>
      <c r="L164" s="454">
        <f t="shared" si="173"/>
        <v>27.9</v>
      </c>
      <c r="M164" s="454"/>
      <c r="N164" s="223">
        <f t="shared" si="174"/>
        <v>0.56989247311827951</v>
      </c>
      <c r="O164" s="178">
        <f t="shared" si="237"/>
        <v>3.4707737084647103</v>
      </c>
      <c r="P164" s="178">
        <f t="shared" si="238"/>
        <v>1.5233225806451611</v>
      </c>
      <c r="Q164" s="223">
        <f t="shared" si="175"/>
        <v>0.69415474169294211</v>
      </c>
      <c r="R164" s="223">
        <f t="shared" si="239"/>
        <v>1.0517496086256699</v>
      </c>
      <c r="S164" s="223">
        <f t="shared" si="240"/>
        <v>5</v>
      </c>
      <c r="T164" s="223">
        <f t="shared" si="241"/>
        <v>1.1668867924528303</v>
      </c>
      <c r="U164" s="223">
        <f t="shared" si="179"/>
        <v>2.9172169811320758</v>
      </c>
      <c r="V164" s="223">
        <f t="shared" si="180"/>
        <v>2.2016731933072275</v>
      </c>
      <c r="W164" s="203">
        <f t="shared" si="181"/>
        <v>350</v>
      </c>
      <c r="X164" s="454">
        <f t="shared" si="182"/>
        <v>195.35484566428207</v>
      </c>
      <c r="Z164" s="223">
        <f t="shared" si="183"/>
        <v>0.65130568356374818</v>
      </c>
      <c r="AA164" s="179">
        <f t="shared" si="184"/>
        <v>1.2288786482334872</v>
      </c>
      <c r="AB164" s="179">
        <f t="shared" si="242"/>
        <v>0.31593775579129196</v>
      </c>
      <c r="AC164" s="179"/>
      <c r="AD164" s="179">
        <f t="shared" si="186"/>
        <v>0.5660377358490567</v>
      </c>
      <c r="AE164" s="563">
        <f t="shared" si="243"/>
        <v>2119.9999999999995</v>
      </c>
      <c r="AF164" s="546">
        <f t="shared" si="244"/>
        <v>8.9150943396226423E-2</v>
      </c>
      <c r="AH164" s="179">
        <f t="shared" si="245"/>
        <v>0.82704292512541333</v>
      </c>
      <c r="AI164" s="179">
        <f t="shared" si="246"/>
        <v>1.1668867924528303</v>
      </c>
      <c r="AJ164" s="179">
        <f t="shared" si="247"/>
        <v>1.8421383647798741</v>
      </c>
      <c r="AL164" s="563">
        <f t="shared" si="248"/>
        <v>540</v>
      </c>
      <c r="AM164" s="472">
        <f t="shared" si="249"/>
        <v>195.35484566428207</v>
      </c>
      <c r="AO164">
        <f t="shared" si="194"/>
        <v>540</v>
      </c>
      <c r="AP164">
        <f t="shared" si="195"/>
        <v>195.35484566428207</v>
      </c>
      <c r="AR164" s="6">
        <f t="shared" si="233"/>
        <v>5.1188901744393034</v>
      </c>
      <c r="AS164" s="6">
        <f t="shared" si="230"/>
        <v>2.9172169811320758</v>
      </c>
      <c r="AT164" s="6">
        <f t="shared" si="231"/>
        <v>2.2016731933072275</v>
      </c>
      <c r="AU164" s="179">
        <f t="shared" si="232"/>
        <v>0.56989247311827951</v>
      </c>
      <c r="AW164" s="6">
        <f t="shared" si="199"/>
        <v>31.505943396226421</v>
      </c>
      <c r="AX164" s="6">
        <f t="shared" si="200"/>
        <v>23.868138936535168</v>
      </c>
      <c r="AY164" s="6">
        <f t="shared" si="201"/>
        <v>0.45868191527233898</v>
      </c>
      <c r="AZ164" s="6"/>
      <c r="BA164" s="179">
        <f t="shared" si="202"/>
        <v>0.50858618311981052</v>
      </c>
      <c r="BB164" s="179">
        <f t="shared" si="203"/>
        <v>1.3254943260003673</v>
      </c>
      <c r="BC164" s="179">
        <f t="shared" si="204"/>
        <v>0.64396932671517848</v>
      </c>
      <c r="BD164" s="179"/>
      <c r="BE164" s="546">
        <f t="shared" si="205"/>
        <v>9.0530966981132097E-2</v>
      </c>
      <c r="BF164" s="546">
        <f t="shared" si="206"/>
        <v>4.7699999999999985E-2</v>
      </c>
      <c r="BG164" s="546">
        <f t="shared" si="207"/>
        <v>2.4419355708035261E-3</v>
      </c>
      <c r="BH164" s="546">
        <f t="shared" si="208"/>
        <v>7.6033082706766907E-3</v>
      </c>
      <c r="BI164">
        <f t="shared" si="209"/>
        <v>3.48E-3</v>
      </c>
      <c r="BK164" s="472">
        <f t="shared" si="210"/>
        <v>151.75621082261227</v>
      </c>
      <c r="BL164" s="179">
        <f t="shared" si="211"/>
        <v>0.21600000000000003</v>
      </c>
      <c r="BM164" s="179">
        <f t="shared" si="212"/>
        <v>0.10800000000000001</v>
      </c>
      <c r="BN164" s="546"/>
      <c r="BP164" s="472">
        <f t="shared" si="213"/>
        <v>324.00000000000006</v>
      </c>
      <c r="BQ164" s="546">
        <f t="shared" si="214"/>
        <v>5.1731981132075493E-2</v>
      </c>
      <c r="BR164" s="546">
        <f t="shared" si="215"/>
        <v>7.027740833036672E-2</v>
      </c>
      <c r="BS164" s="546">
        <f t="shared" si="216"/>
        <v>4.1469649375000028E-2</v>
      </c>
      <c r="BT164" s="546">
        <f t="shared" si="217"/>
        <v>3.9228552675452832E-2</v>
      </c>
      <c r="BU164" s="546"/>
      <c r="BV164" s="655">
        <f t="shared" si="250"/>
        <v>2.6600000000000006E-2</v>
      </c>
      <c r="BW164" s="472">
        <f t="shared" si="219"/>
        <v>229.3075915128951</v>
      </c>
      <c r="BX164" s="179">
        <f t="shared" si="220"/>
        <v>0.70506380233550714</v>
      </c>
      <c r="BY164" s="6">
        <f t="shared" si="221"/>
        <v>3.5910000000000002</v>
      </c>
      <c r="BZ164" s="179">
        <f t="shared" si="222"/>
        <v>0.83588144059866909</v>
      </c>
      <c r="CA164" s="6">
        <f t="shared" si="223"/>
        <v>83.588144059866906</v>
      </c>
      <c r="CB164">
        <f t="shared" si="224"/>
        <v>54</v>
      </c>
      <c r="CD164" s="581">
        <f t="shared" si="251"/>
        <v>-50</v>
      </c>
      <c r="CE164">
        <f t="shared" si="252"/>
        <v>-50</v>
      </c>
    </row>
    <row r="165" spans="5:83" x14ac:dyDescent="0.2">
      <c r="E165" s="176">
        <v>55</v>
      </c>
      <c r="F165" s="223">
        <f t="shared" si="253"/>
        <v>0.55000000000000004</v>
      </c>
      <c r="G165" s="223">
        <f t="shared" si="234"/>
        <v>0.27500000000000002</v>
      </c>
      <c r="H165" s="223">
        <f t="shared" si="235"/>
        <v>2.75</v>
      </c>
      <c r="I165" s="223">
        <f t="shared" si="236"/>
        <v>0.90749999999999997</v>
      </c>
      <c r="J165" s="559">
        <f t="shared" si="171"/>
        <v>12</v>
      </c>
      <c r="K165" s="454">
        <f t="shared" si="172"/>
        <v>15.899999999999999</v>
      </c>
      <c r="L165" s="454">
        <f t="shared" si="173"/>
        <v>27.9</v>
      </c>
      <c r="M165" s="454"/>
      <c r="N165" s="223">
        <f t="shared" si="174"/>
        <v>0.56989247311827951</v>
      </c>
      <c r="O165" s="178">
        <f t="shared" si="237"/>
        <v>3.4707737084647103</v>
      </c>
      <c r="P165" s="178">
        <f t="shared" si="238"/>
        <v>1.5233225806451611</v>
      </c>
      <c r="Q165" s="223">
        <f t="shared" si="175"/>
        <v>0.69415474169294211</v>
      </c>
      <c r="R165" s="223">
        <f t="shared" si="239"/>
        <v>1.0517496086256699</v>
      </c>
      <c r="S165" s="223">
        <f t="shared" si="240"/>
        <v>5</v>
      </c>
      <c r="T165" s="223">
        <f t="shared" si="241"/>
        <v>1.1884958071278826</v>
      </c>
      <c r="U165" s="223">
        <f t="shared" si="179"/>
        <v>2.9712395178197069</v>
      </c>
      <c r="V165" s="223">
        <f t="shared" si="180"/>
        <v>2.2424449191092131</v>
      </c>
      <c r="W165" s="203">
        <f t="shared" si="181"/>
        <v>350</v>
      </c>
      <c r="X165" s="454">
        <f t="shared" si="182"/>
        <v>191.80293937947692</v>
      </c>
      <c r="Z165" s="223">
        <f t="shared" si="183"/>
        <v>0.65130568356374818</v>
      </c>
      <c r="AA165" s="179">
        <f t="shared" si="184"/>
        <v>1.2288786482334872</v>
      </c>
      <c r="AB165" s="179">
        <f t="shared" si="242"/>
        <v>0.31593775579129196</v>
      </c>
      <c r="AC165" s="179"/>
      <c r="AD165" s="179">
        <f t="shared" si="186"/>
        <v>0.5660377358490567</v>
      </c>
      <c r="AE165" s="563">
        <f t="shared" si="243"/>
        <v>2159.2592592592587</v>
      </c>
      <c r="AF165" s="546">
        <f t="shared" si="244"/>
        <v>8.9150943396226423E-2</v>
      </c>
      <c r="AH165" s="179">
        <f t="shared" si="245"/>
        <v>0.83466560170326098</v>
      </c>
      <c r="AI165" s="179">
        <f t="shared" si="246"/>
        <v>1.1884958071278826</v>
      </c>
      <c r="AJ165" s="179">
        <f t="shared" si="247"/>
        <v>1.8581450423169499</v>
      </c>
      <c r="AL165" s="563">
        <f t="shared" si="248"/>
        <v>550</v>
      </c>
      <c r="AM165" s="472">
        <f t="shared" si="249"/>
        <v>191.80293937947692</v>
      </c>
      <c r="AO165">
        <f t="shared" si="194"/>
        <v>550</v>
      </c>
      <c r="AP165">
        <f t="shared" si="195"/>
        <v>191.80293937947692</v>
      </c>
      <c r="AR165" s="6">
        <f t="shared" si="233"/>
        <v>5.2136844369289204</v>
      </c>
      <c r="AS165" s="6">
        <f t="shared" si="230"/>
        <v>2.9712395178197069</v>
      </c>
      <c r="AT165" s="6">
        <f t="shared" si="231"/>
        <v>2.2424449191092135</v>
      </c>
      <c r="AU165" s="179">
        <f t="shared" si="232"/>
        <v>0.56989247311827951</v>
      </c>
      <c r="AW165" s="6">
        <f t="shared" si="199"/>
        <v>32.683634696016782</v>
      </c>
      <c r="AX165" s="6">
        <f t="shared" si="200"/>
        <v>24.760329315164224</v>
      </c>
      <c r="AY165" s="6">
        <f t="shared" si="201"/>
        <v>0.47582743268135302</v>
      </c>
      <c r="AZ165" s="6"/>
      <c r="BA165" s="179">
        <f t="shared" si="202"/>
        <v>0.51800444577017724</v>
      </c>
      <c r="BB165" s="179">
        <f t="shared" si="203"/>
        <v>1.3500405172225962</v>
      </c>
      <c r="BC165" s="179">
        <f t="shared" si="204"/>
        <v>0.65589468461731115</v>
      </c>
      <c r="BD165" s="179"/>
      <c r="BE165" s="546">
        <f t="shared" si="205"/>
        <v>9.3915012043183962E-2</v>
      </c>
      <c r="BF165" s="546">
        <f t="shared" si="206"/>
        <v>4.7699999999999979E-2</v>
      </c>
      <c r="BG165" s="546">
        <f t="shared" si="207"/>
        <v>2.3975367422434616E-3</v>
      </c>
      <c r="BH165" s="546">
        <f t="shared" si="208"/>
        <v>7.4650663021189317E-3</v>
      </c>
      <c r="BI165">
        <f t="shared" si="209"/>
        <v>3.48E-3</v>
      </c>
      <c r="BK165" s="472">
        <f t="shared" si="210"/>
        <v>154.95761508754634</v>
      </c>
      <c r="BL165" s="179">
        <f t="shared" si="211"/>
        <v>0.22000000000000003</v>
      </c>
      <c r="BM165" s="179">
        <f t="shared" si="212"/>
        <v>0.11000000000000001</v>
      </c>
      <c r="BN165" s="546"/>
      <c r="BP165" s="472">
        <f t="shared" si="213"/>
        <v>330.00000000000006</v>
      </c>
      <c r="BQ165" s="546">
        <f t="shared" si="214"/>
        <v>5.3665721167533702E-2</v>
      </c>
      <c r="BR165" s="546">
        <f t="shared" si="215"/>
        <v>7.2904375925706214E-2</v>
      </c>
      <c r="BS165" s="546">
        <f t="shared" si="216"/>
        <v>4.3019783730924209E-2</v>
      </c>
      <c r="BT165" s="546">
        <f t="shared" si="217"/>
        <v>3.9228552675452825E-2</v>
      </c>
      <c r="BU165" s="546"/>
      <c r="BV165" s="655">
        <f t="shared" si="250"/>
        <v>2.7092592592592588E-2</v>
      </c>
      <c r="BW165" s="472">
        <f t="shared" si="219"/>
        <v>235.91102609220954</v>
      </c>
      <c r="BX165" s="179">
        <f t="shared" si="220"/>
        <v>0.7208686411797558</v>
      </c>
      <c r="BY165" s="6">
        <f t="shared" si="221"/>
        <v>3.6574999999999998</v>
      </c>
      <c r="BZ165" s="179">
        <f t="shared" si="222"/>
        <v>0.83535679604504087</v>
      </c>
      <c r="CA165" s="6">
        <f t="shared" si="223"/>
        <v>83.535679604504082</v>
      </c>
      <c r="CB165">
        <f t="shared" si="224"/>
        <v>55.000000000000007</v>
      </c>
      <c r="CD165" s="581">
        <f t="shared" si="251"/>
        <v>-50</v>
      </c>
      <c r="CE165">
        <f t="shared" si="252"/>
        <v>-50</v>
      </c>
    </row>
    <row r="166" spans="5:83" x14ac:dyDescent="0.2">
      <c r="E166" s="176">
        <v>56</v>
      </c>
      <c r="F166" s="223">
        <f t="shared" si="253"/>
        <v>0.56000000000000005</v>
      </c>
      <c r="G166" s="223">
        <f t="shared" si="234"/>
        <v>0.28000000000000003</v>
      </c>
      <c r="H166" s="223">
        <f t="shared" si="235"/>
        <v>2.8000000000000003</v>
      </c>
      <c r="I166" s="223">
        <f t="shared" si="236"/>
        <v>0.92400000000000004</v>
      </c>
      <c r="J166" s="559">
        <f t="shared" si="171"/>
        <v>12</v>
      </c>
      <c r="K166" s="454">
        <f t="shared" si="172"/>
        <v>15.899999999999999</v>
      </c>
      <c r="L166" s="454">
        <f t="shared" si="173"/>
        <v>27.9</v>
      </c>
      <c r="M166" s="454"/>
      <c r="N166" s="223">
        <f t="shared" si="174"/>
        <v>0.56989247311827951</v>
      </c>
      <c r="O166" s="178">
        <f t="shared" si="237"/>
        <v>3.4707737084647103</v>
      </c>
      <c r="P166" s="178">
        <f t="shared" si="238"/>
        <v>1.5233225806451611</v>
      </c>
      <c r="Q166" s="223">
        <f t="shared" si="175"/>
        <v>0.69415474169294211</v>
      </c>
      <c r="R166" s="223">
        <f t="shared" si="239"/>
        <v>1.0517496086256699</v>
      </c>
      <c r="S166" s="223">
        <f t="shared" si="240"/>
        <v>5</v>
      </c>
      <c r="T166" s="223">
        <f t="shared" si="241"/>
        <v>1.2101048218029351</v>
      </c>
      <c r="U166" s="223">
        <f t="shared" si="179"/>
        <v>3.0252620545073379</v>
      </c>
      <c r="V166" s="223">
        <f t="shared" si="180"/>
        <v>2.2832166449111986</v>
      </c>
      <c r="W166" s="203">
        <f t="shared" si="181"/>
        <v>350</v>
      </c>
      <c r="X166" s="454">
        <f t="shared" si="182"/>
        <v>188.3778868905577</v>
      </c>
      <c r="Z166" s="223">
        <f t="shared" si="183"/>
        <v>0.65130568356374818</v>
      </c>
      <c r="AA166" s="179">
        <f t="shared" si="184"/>
        <v>1.2288786482334872</v>
      </c>
      <c r="AB166" s="179">
        <f t="shared" si="242"/>
        <v>0.31593775579129196</v>
      </c>
      <c r="AC166" s="179"/>
      <c r="AD166" s="179">
        <f t="shared" si="186"/>
        <v>0.5660377358490567</v>
      </c>
      <c r="AE166" s="563">
        <f t="shared" si="243"/>
        <v>2198.5185185185182</v>
      </c>
      <c r="AF166" s="546">
        <f t="shared" si="244"/>
        <v>8.9150943396226423E-2</v>
      </c>
      <c r="AH166" s="179">
        <f t="shared" si="245"/>
        <v>0.84221929052553368</v>
      </c>
      <c r="AI166" s="179">
        <f t="shared" si="246"/>
        <v>1.2101048218029351</v>
      </c>
      <c r="AJ166" s="179">
        <f t="shared" si="247"/>
        <v>1.8741517198540258</v>
      </c>
      <c r="AL166" s="563">
        <f t="shared" si="248"/>
        <v>560</v>
      </c>
      <c r="AM166" s="472">
        <f t="shared" si="249"/>
        <v>188.3778868905577</v>
      </c>
      <c r="AO166">
        <f t="shared" si="194"/>
        <v>560</v>
      </c>
      <c r="AP166">
        <f t="shared" si="195"/>
        <v>188.3778868905577</v>
      </c>
      <c r="AR166" s="6">
        <f t="shared" si="233"/>
        <v>5.3084786994185373</v>
      </c>
      <c r="AS166" s="6">
        <f t="shared" si="230"/>
        <v>3.0252620545073379</v>
      </c>
      <c r="AT166" s="6">
        <f t="shared" si="231"/>
        <v>2.2832166449111995</v>
      </c>
      <c r="AU166" s="179">
        <f t="shared" si="232"/>
        <v>0.56989247311827951</v>
      </c>
      <c r="AW166" s="6">
        <f t="shared" si="199"/>
        <v>33.882935010482186</v>
      </c>
      <c r="AX166" s="6">
        <f t="shared" si="200"/>
        <v>25.668890159456204</v>
      </c>
      <c r="AY166" s="6">
        <f t="shared" si="201"/>
        <v>0.4932875467400738</v>
      </c>
      <c r="AZ166" s="6"/>
      <c r="BA166" s="179">
        <f t="shared" si="202"/>
        <v>0.52742270842054417</v>
      </c>
      <c r="BB166" s="179">
        <f t="shared" si="203"/>
        <v>1.3745867084448251</v>
      </c>
      <c r="BC166" s="179">
        <f t="shared" si="204"/>
        <v>0.66782004251944427</v>
      </c>
      <c r="BD166" s="179"/>
      <c r="BE166" s="546">
        <f t="shared" si="205"/>
        <v>9.7361149675181821E-2</v>
      </c>
      <c r="BF166" s="546">
        <f t="shared" si="206"/>
        <v>4.7699999999999985E-2</v>
      </c>
      <c r="BG166" s="546">
        <f t="shared" si="207"/>
        <v>2.3547235861319711E-3</v>
      </c>
      <c r="BH166" s="546">
        <f t="shared" si="208"/>
        <v>7.3317615467239517E-3</v>
      </c>
      <c r="BI166">
        <f t="shared" si="209"/>
        <v>3.48E-3</v>
      </c>
      <c r="BK166" s="472">
        <f t="shared" si="210"/>
        <v>158.22763480803775</v>
      </c>
      <c r="BL166" s="179">
        <f t="shared" si="211"/>
        <v>0.22400000000000003</v>
      </c>
      <c r="BM166" s="179">
        <f t="shared" si="212"/>
        <v>0.11200000000000002</v>
      </c>
      <c r="BN166" s="546"/>
      <c r="BP166" s="472">
        <f t="shared" si="213"/>
        <v>336.00000000000006</v>
      </c>
      <c r="BQ166" s="546">
        <f t="shared" si="214"/>
        <v>5.5634942671532475E-2</v>
      </c>
      <c r="BR166" s="546">
        <f t="shared" si="215"/>
        <v>7.5579544761327139E-2</v>
      </c>
      <c r="BS166" s="546">
        <f t="shared" si="216"/>
        <v>4.4598360919067243E-2</v>
      </c>
      <c r="BT166" s="546">
        <f t="shared" si="217"/>
        <v>3.9228552675452763E-2</v>
      </c>
      <c r="BU166" s="546"/>
      <c r="BV166" s="655">
        <f t="shared" si="250"/>
        <v>2.7585185185185185E-2</v>
      </c>
      <c r="BW166" s="472">
        <f t="shared" si="219"/>
        <v>242.6265862125648</v>
      </c>
      <c r="BX166" s="179">
        <f t="shared" si="220"/>
        <v>0.7368542210206025</v>
      </c>
      <c r="BY166" s="6">
        <f t="shared" si="221"/>
        <v>3.7240000000000002</v>
      </c>
      <c r="BZ166" s="179">
        <f t="shared" si="222"/>
        <v>0.83481768636411136</v>
      </c>
      <c r="CA166" s="6">
        <f t="shared" si="223"/>
        <v>83.481768636411132</v>
      </c>
      <c r="CB166">
        <f t="shared" si="224"/>
        <v>56.000000000000007</v>
      </c>
      <c r="CD166" s="581">
        <f t="shared" si="251"/>
        <v>-50</v>
      </c>
      <c r="CE166">
        <f t="shared" si="252"/>
        <v>-50</v>
      </c>
    </row>
    <row r="167" spans="5:83" x14ac:dyDescent="0.2">
      <c r="E167" s="176">
        <v>57</v>
      </c>
      <c r="F167" s="223">
        <f t="shared" si="253"/>
        <v>0.56999999999999995</v>
      </c>
      <c r="G167" s="223">
        <f t="shared" si="234"/>
        <v>0.28499999999999998</v>
      </c>
      <c r="H167" s="223">
        <f t="shared" si="235"/>
        <v>2.8499999999999996</v>
      </c>
      <c r="I167" s="223">
        <f t="shared" si="236"/>
        <v>0.94049999999999989</v>
      </c>
      <c r="J167" s="559">
        <f t="shared" si="171"/>
        <v>12</v>
      </c>
      <c r="K167" s="454">
        <f t="shared" si="172"/>
        <v>15.899999999999999</v>
      </c>
      <c r="L167" s="454">
        <f t="shared" si="173"/>
        <v>27.9</v>
      </c>
      <c r="M167" s="454"/>
      <c r="N167" s="223">
        <f t="shared" si="174"/>
        <v>0.56989247311827951</v>
      </c>
      <c r="O167" s="178">
        <f t="shared" si="237"/>
        <v>3.4707737084647103</v>
      </c>
      <c r="P167" s="178">
        <f t="shared" si="238"/>
        <v>1.5233225806451611</v>
      </c>
      <c r="Q167" s="223">
        <f t="shared" si="175"/>
        <v>0.69415474169294211</v>
      </c>
      <c r="R167" s="223">
        <f t="shared" si="239"/>
        <v>1.0517496086256699</v>
      </c>
      <c r="S167" s="223">
        <f t="shared" si="240"/>
        <v>5</v>
      </c>
      <c r="T167" s="223">
        <f t="shared" si="241"/>
        <v>1.2317138364779874</v>
      </c>
      <c r="U167" s="223">
        <f t="shared" si="179"/>
        <v>3.0792845911949689</v>
      </c>
      <c r="V167" s="223">
        <f t="shared" si="180"/>
        <v>2.3239883707131841</v>
      </c>
      <c r="W167" s="203">
        <f t="shared" si="181"/>
        <v>350</v>
      </c>
      <c r="X167" s="454">
        <f t="shared" si="182"/>
        <v>185.07301168195147</v>
      </c>
      <c r="Z167" s="223">
        <f t="shared" si="183"/>
        <v>0.65130568356374818</v>
      </c>
      <c r="AA167" s="179">
        <f t="shared" si="184"/>
        <v>1.2288786482334872</v>
      </c>
      <c r="AB167" s="179">
        <f t="shared" si="242"/>
        <v>0.31593775579129196</v>
      </c>
      <c r="AC167" s="179"/>
      <c r="AD167" s="179">
        <f t="shared" si="186"/>
        <v>0.5660377358490567</v>
      </c>
      <c r="AE167" s="563">
        <f t="shared" si="243"/>
        <v>2237.7777777777769</v>
      </c>
      <c r="AF167" s="546">
        <f t="shared" si="244"/>
        <v>8.9150943396226423E-2</v>
      </c>
      <c r="AH167" s="179">
        <f t="shared" si="245"/>
        <v>0.84970583144992007</v>
      </c>
      <c r="AI167" s="179">
        <f t="shared" si="246"/>
        <v>1.2317138364779874</v>
      </c>
      <c r="AJ167" s="179">
        <f t="shared" si="247"/>
        <v>1.8901583973911018</v>
      </c>
      <c r="AL167" s="563">
        <f t="shared" si="248"/>
        <v>570</v>
      </c>
      <c r="AM167" s="472">
        <f t="shared" si="249"/>
        <v>185.07301168195147</v>
      </c>
      <c r="AO167">
        <f t="shared" si="194"/>
        <v>570</v>
      </c>
      <c r="AP167">
        <f t="shared" si="195"/>
        <v>185.07301168195147</v>
      </c>
      <c r="AR167" s="6">
        <f t="shared" si="233"/>
        <v>5.4032729619081525</v>
      </c>
      <c r="AS167" s="6">
        <f t="shared" si="230"/>
        <v>3.0792845911949689</v>
      </c>
      <c r="AT167" s="6">
        <f t="shared" si="231"/>
        <v>2.3239883707131836</v>
      </c>
      <c r="AU167" s="179">
        <f t="shared" si="232"/>
        <v>0.56989247311827962</v>
      </c>
      <c r="AW167" s="6">
        <f t="shared" si="199"/>
        <v>35.10384433962264</v>
      </c>
      <c r="AX167" s="6">
        <f t="shared" si="200"/>
        <v>26.59382146941109</v>
      </c>
      <c r="AY167" s="6">
        <f t="shared" si="201"/>
        <v>0.51106225744850087</v>
      </c>
      <c r="AZ167" s="6"/>
      <c r="BA167" s="179">
        <f t="shared" si="202"/>
        <v>0.536840971070911</v>
      </c>
      <c r="BB167" s="179">
        <f t="shared" si="203"/>
        <v>1.3991328996670538</v>
      </c>
      <c r="BC167" s="179">
        <f t="shared" si="204"/>
        <v>0.67974540042157694</v>
      </c>
      <c r="BD167" s="179"/>
      <c r="BE167" s="546">
        <f t="shared" si="205"/>
        <v>0.10086937987712553</v>
      </c>
      <c r="BF167" s="546">
        <f t="shared" si="206"/>
        <v>4.7699999999999992E-2</v>
      </c>
      <c r="BG167" s="546">
        <f t="shared" si="207"/>
        <v>2.3134126460243932E-3</v>
      </c>
      <c r="BH167" s="546">
        <f t="shared" si="208"/>
        <v>7.2031341511673928E-3</v>
      </c>
      <c r="BI167">
        <f t="shared" si="209"/>
        <v>3.48E-3</v>
      </c>
      <c r="BK167" s="472">
        <f t="shared" si="210"/>
        <v>161.56592667431732</v>
      </c>
      <c r="BL167" s="179">
        <f t="shared" si="211"/>
        <v>0.22799999999999998</v>
      </c>
      <c r="BM167" s="179">
        <f t="shared" si="212"/>
        <v>0.11399999999999999</v>
      </c>
      <c r="BN167" s="546"/>
      <c r="BP167" s="472">
        <f t="shared" si="213"/>
        <v>341.99999999999994</v>
      </c>
      <c r="BQ167" s="546">
        <f t="shared" si="214"/>
        <v>5.7639645644071737E-2</v>
      </c>
      <c r="BR167" s="546">
        <f t="shared" si="215"/>
        <v>7.8302914837229523E-2</v>
      </c>
      <c r="BS167" s="546">
        <f t="shared" si="216"/>
        <v>4.6205380939428997E-2</v>
      </c>
      <c r="BT167" s="546">
        <f t="shared" si="217"/>
        <v>3.9228552675452798E-2</v>
      </c>
      <c r="BU167" s="546"/>
      <c r="BV167" s="655">
        <f t="shared" si="250"/>
        <v>2.8077777777777778E-2</v>
      </c>
      <c r="BW167" s="472">
        <f t="shared" si="219"/>
        <v>249.45427187396086</v>
      </c>
      <c r="BX167" s="179">
        <f t="shared" si="220"/>
        <v>0.75302019854827817</v>
      </c>
      <c r="BY167" s="6">
        <f t="shared" si="221"/>
        <v>3.7904999999999998</v>
      </c>
      <c r="BZ167" s="179">
        <f t="shared" si="222"/>
        <v>0.83426502675417191</v>
      </c>
      <c r="CA167" s="6">
        <f t="shared" si="223"/>
        <v>83.426502675417197</v>
      </c>
      <c r="CB167">
        <f t="shared" si="224"/>
        <v>56.999999999999993</v>
      </c>
      <c r="CD167" s="581">
        <f t="shared" si="251"/>
        <v>185.07301168195147</v>
      </c>
      <c r="CE167">
        <f t="shared" si="252"/>
        <v>4.1663998742471575</v>
      </c>
    </row>
    <row r="168" spans="5:83" x14ac:dyDescent="0.2">
      <c r="E168" s="176">
        <v>58</v>
      </c>
      <c r="F168" s="223">
        <f t="shared" si="253"/>
        <v>0.57999999999999996</v>
      </c>
      <c r="G168" s="223">
        <f t="shared" si="234"/>
        <v>0.28999999999999998</v>
      </c>
      <c r="H168" s="223">
        <f t="shared" si="235"/>
        <v>2.9</v>
      </c>
      <c r="I168" s="223">
        <f t="shared" si="236"/>
        <v>0.95699999999999985</v>
      </c>
      <c r="J168" s="559">
        <f t="shared" si="171"/>
        <v>12</v>
      </c>
      <c r="K168" s="454">
        <f t="shared" si="172"/>
        <v>15.899999999999999</v>
      </c>
      <c r="L168" s="454">
        <f t="shared" si="173"/>
        <v>27.9</v>
      </c>
      <c r="M168" s="454"/>
      <c r="N168" s="223">
        <f t="shared" si="174"/>
        <v>0.56989247311827951</v>
      </c>
      <c r="O168" s="178">
        <f t="shared" si="237"/>
        <v>3.4707737084647103</v>
      </c>
      <c r="P168" s="178">
        <f t="shared" si="238"/>
        <v>1.5233225806451611</v>
      </c>
      <c r="Q168" s="223">
        <f t="shared" si="175"/>
        <v>0.69415474169294211</v>
      </c>
      <c r="R168" s="223">
        <f t="shared" si="239"/>
        <v>1.0517496086256699</v>
      </c>
      <c r="S168" s="223">
        <f t="shared" si="240"/>
        <v>5</v>
      </c>
      <c r="T168" s="223">
        <f t="shared" si="241"/>
        <v>1.2533228511530399</v>
      </c>
      <c r="U168" s="223">
        <f t="shared" si="179"/>
        <v>3.1333071278825999</v>
      </c>
      <c r="V168" s="223">
        <f t="shared" si="180"/>
        <v>2.3647600965151696</v>
      </c>
      <c r="W168" s="203">
        <f t="shared" si="181"/>
        <v>350</v>
      </c>
      <c r="X168" s="454">
        <f t="shared" si="182"/>
        <v>181.88209768743505</v>
      </c>
      <c r="Z168" s="223">
        <f t="shared" si="183"/>
        <v>0.65130568356374818</v>
      </c>
      <c r="AA168" s="179">
        <f t="shared" si="184"/>
        <v>1.2288786482334872</v>
      </c>
      <c r="AB168" s="179">
        <f t="shared" si="242"/>
        <v>0.31593775579129196</v>
      </c>
      <c r="AC168" s="179"/>
      <c r="AD168" s="179">
        <f t="shared" si="186"/>
        <v>0.5660377358490567</v>
      </c>
      <c r="AE168" s="563">
        <f t="shared" si="243"/>
        <v>2277.0370370370365</v>
      </c>
      <c r="AF168" s="546">
        <f t="shared" si="244"/>
        <v>8.9150943396226423E-2</v>
      </c>
      <c r="AH168" s="179">
        <f t="shared" si="245"/>
        <v>0.85712698398000897</v>
      </c>
      <c r="AI168" s="179">
        <f t="shared" si="246"/>
        <v>1.2533228511530399</v>
      </c>
      <c r="AJ168" s="179">
        <f t="shared" si="247"/>
        <v>1.9061650749281775</v>
      </c>
      <c r="AL168" s="563">
        <f t="shared" si="248"/>
        <v>580</v>
      </c>
      <c r="AM168" s="472">
        <f t="shared" si="249"/>
        <v>181.88209768743505</v>
      </c>
      <c r="AO168">
        <f t="shared" si="194"/>
        <v>580</v>
      </c>
      <c r="AP168">
        <f t="shared" si="195"/>
        <v>181.88209768743505</v>
      </c>
      <c r="AR168" s="6">
        <f t="shared" si="233"/>
        <v>5.4980672243977695</v>
      </c>
      <c r="AS168" s="6">
        <f t="shared" si="230"/>
        <v>3.1333071278825999</v>
      </c>
      <c r="AT168" s="6">
        <f t="shared" si="231"/>
        <v>2.3647600965151696</v>
      </c>
      <c r="AU168" s="179">
        <f t="shared" si="232"/>
        <v>0.56989247311827962</v>
      </c>
      <c r="AW168" s="6">
        <f t="shared" si="199"/>
        <v>36.346362683438151</v>
      </c>
      <c r="AX168" s="6">
        <f t="shared" si="200"/>
        <v>27.535123245028906</v>
      </c>
      <c r="AY168" s="6">
        <f t="shared" si="201"/>
        <v>0.52915156480663506</v>
      </c>
      <c r="AZ168" s="6"/>
      <c r="BA168" s="179">
        <f t="shared" si="202"/>
        <v>0.54625923372127794</v>
      </c>
      <c r="BB168" s="179">
        <f t="shared" si="203"/>
        <v>1.4236790908892829</v>
      </c>
      <c r="BC168" s="179">
        <f t="shared" si="204"/>
        <v>0.69167075832370994</v>
      </c>
      <c r="BD168" s="179"/>
      <c r="BE168" s="546">
        <f t="shared" si="205"/>
        <v>0.10443970264901521</v>
      </c>
      <c r="BF168" s="546">
        <f t="shared" si="206"/>
        <v>4.7699999999999985E-2</v>
      </c>
      <c r="BG168" s="546">
        <f t="shared" si="207"/>
        <v>2.2735262210929383E-3</v>
      </c>
      <c r="BH168" s="546">
        <f t="shared" si="208"/>
        <v>7.0789421830438157E-3</v>
      </c>
      <c r="BI168">
        <f t="shared" si="209"/>
        <v>3.48E-3</v>
      </c>
      <c r="BK168" s="472">
        <f t="shared" si="210"/>
        <v>164.97217105315195</v>
      </c>
      <c r="BL168" s="179">
        <f t="shared" si="211"/>
        <v>0.23199999999999998</v>
      </c>
      <c r="BM168" s="179">
        <f t="shared" si="212"/>
        <v>0.11599999999999999</v>
      </c>
      <c r="BN168" s="546"/>
      <c r="BP168" s="472">
        <f t="shared" si="213"/>
        <v>348</v>
      </c>
      <c r="BQ168" s="546">
        <f t="shared" si="214"/>
        <v>5.9679830085151556E-2</v>
      </c>
      <c r="BR168" s="546">
        <f t="shared" si="215"/>
        <v>8.1074486153413408E-2</v>
      </c>
      <c r="BS168" s="546">
        <f t="shared" si="216"/>
        <v>4.7840843792009598E-2</v>
      </c>
      <c r="BT168" s="546">
        <f t="shared" si="217"/>
        <v>3.9228552675452846E-2</v>
      </c>
      <c r="BU168" s="546"/>
      <c r="BV168" s="655">
        <f t="shared" si="250"/>
        <v>2.8570370370370371E-2</v>
      </c>
      <c r="BW168" s="472">
        <f t="shared" si="219"/>
        <v>256.39408307639775</v>
      </c>
      <c r="BX168" s="179">
        <f t="shared" si="220"/>
        <v>0.76936625412954973</v>
      </c>
      <c r="BY168" s="6">
        <f t="shared" si="221"/>
        <v>3.8569999999999998</v>
      </c>
      <c r="BZ168" s="179">
        <f t="shared" si="222"/>
        <v>0.83369966581378974</v>
      </c>
      <c r="CA168" s="6">
        <f t="shared" si="223"/>
        <v>83.369966581378975</v>
      </c>
      <c r="CB168">
        <f t="shared" si="224"/>
        <v>57.999999999999993</v>
      </c>
      <c r="CD168" s="581">
        <f t="shared" si="251"/>
        <v>-50</v>
      </c>
      <c r="CE168">
        <f t="shared" si="252"/>
        <v>-50</v>
      </c>
    </row>
    <row r="169" spans="5:83" x14ac:dyDescent="0.2">
      <c r="E169" s="176">
        <v>59</v>
      </c>
      <c r="F169" s="223">
        <f t="shared" si="253"/>
        <v>0.59</v>
      </c>
      <c r="G169" s="223">
        <f t="shared" si="234"/>
        <v>0.29499999999999998</v>
      </c>
      <c r="H169" s="223">
        <f t="shared" si="235"/>
        <v>2.9499999999999997</v>
      </c>
      <c r="I169" s="223">
        <f t="shared" si="236"/>
        <v>0.97349999999999992</v>
      </c>
      <c r="J169" s="559">
        <f t="shared" si="171"/>
        <v>12</v>
      </c>
      <c r="K169" s="454">
        <f t="shared" si="172"/>
        <v>15.899999999999999</v>
      </c>
      <c r="L169" s="454">
        <f t="shared" si="173"/>
        <v>27.9</v>
      </c>
      <c r="M169" s="454"/>
      <c r="N169" s="223">
        <f t="shared" si="174"/>
        <v>0.56989247311827951</v>
      </c>
      <c r="O169" s="178">
        <f t="shared" si="237"/>
        <v>3.4707737084647103</v>
      </c>
      <c r="P169" s="178">
        <f t="shared" si="238"/>
        <v>1.5233225806451611</v>
      </c>
      <c r="Q169" s="223">
        <f t="shared" si="175"/>
        <v>0.69415474169294211</v>
      </c>
      <c r="R169" s="223">
        <f t="shared" si="239"/>
        <v>1.0517496086256699</v>
      </c>
      <c r="S169" s="223">
        <f t="shared" si="240"/>
        <v>5</v>
      </c>
      <c r="T169" s="223">
        <f t="shared" si="241"/>
        <v>1.2749318658280924</v>
      </c>
      <c r="U169" s="223">
        <f t="shared" si="179"/>
        <v>3.1873296645702309</v>
      </c>
      <c r="V169" s="223">
        <f t="shared" si="180"/>
        <v>2.4055318223171556</v>
      </c>
      <c r="W169" s="203">
        <f t="shared" si="181"/>
        <v>350</v>
      </c>
      <c r="X169" s="454">
        <f t="shared" si="182"/>
        <v>178.79935026900392</v>
      </c>
      <c r="Z169" s="223">
        <f t="shared" si="183"/>
        <v>0.65130568356374818</v>
      </c>
      <c r="AA169" s="179">
        <f t="shared" si="184"/>
        <v>1.2288786482334872</v>
      </c>
      <c r="AB169" s="179">
        <f t="shared" si="242"/>
        <v>0.31593775579129196</v>
      </c>
      <c r="AC169" s="179"/>
      <c r="AD169" s="179">
        <f t="shared" si="186"/>
        <v>0.5660377358490567</v>
      </c>
      <c r="AE169" s="563">
        <f t="shared" si="243"/>
        <v>2316.2962962962956</v>
      </c>
      <c r="AF169" s="546">
        <f t="shared" si="244"/>
        <v>8.9150943396226423E-2</v>
      </c>
      <c r="AH169" s="179">
        <f t="shared" si="245"/>
        <v>0.86448443209425885</v>
      </c>
      <c r="AI169" s="179">
        <f t="shared" si="246"/>
        <v>1.2749318658280924</v>
      </c>
      <c r="AJ169" s="179">
        <f t="shared" si="247"/>
        <v>1.9221717524652535</v>
      </c>
      <c r="AL169" s="563">
        <f t="shared" si="248"/>
        <v>590</v>
      </c>
      <c r="AM169" s="472">
        <f t="shared" si="249"/>
        <v>178.79935026900392</v>
      </c>
      <c r="AO169">
        <f t="shared" si="194"/>
        <v>590</v>
      </c>
      <c r="AP169">
        <f t="shared" si="195"/>
        <v>178.79935026900392</v>
      </c>
      <c r="AR169" s="6">
        <f t="shared" si="233"/>
        <v>5.5928614868873874</v>
      </c>
      <c r="AS169" s="6">
        <f t="shared" si="230"/>
        <v>3.1873296645702309</v>
      </c>
      <c r="AT169" s="6">
        <f t="shared" si="231"/>
        <v>2.4055318223171565</v>
      </c>
      <c r="AU169" s="179">
        <f t="shared" si="232"/>
        <v>0.56989247311827951</v>
      </c>
      <c r="AW169" s="6">
        <f t="shared" si="199"/>
        <v>37.61049004192872</v>
      </c>
      <c r="AX169" s="6">
        <f t="shared" si="200"/>
        <v>28.492795486309635</v>
      </c>
      <c r="AY169" s="6">
        <f t="shared" si="201"/>
        <v>0.54755546881447603</v>
      </c>
      <c r="AZ169" s="6"/>
      <c r="BA169" s="179">
        <f t="shared" si="202"/>
        <v>0.55567749637164476</v>
      </c>
      <c r="BB169" s="179">
        <f t="shared" si="203"/>
        <v>1.4482252821115122</v>
      </c>
      <c r="BC169" s="179">
        <f t="shared" si="204"/>
        <v>0.70359611622584295</v>
      </c>
      <c r="BD169" s="179"/>
      <c r="BE169" s="546">
        <f t="shared" si="205"/>
        <v>0.10807211799085074</v>
      </c>
      <c r="BF169" s="546">
        <f t="shared" si="206"/>
        <v>4.7699999999999985E-2</v>
      </c>
      <c r="BG169" s="546">
        <f t="shared" si="207"/>
        <v>2.2349918783625489E-3</v>
      </c>
      <c r="BH169" s="546">
        <f t="shared" si="208"/>
        <v>6.9589601121447676E-3</v>
      </c>
      <c r="BI169">
        <f t="shared" si="209"/>
        <v>3.48E-3</v>
      </c>
      <c r="BK169" s="472">
        <f t="shared" si="210"/>
        <v>168.44606998135805</v>
      </c>
      <c r="BL169" s="179">
        <f t="shared" si="211"/>
        <v>0.23599999999999999</v>
      </c>
      <c r="BM169" s="179">
        <f t="shared" si="212"/>
        <v>0.11799999999999999</v>
      </c>
      <c r="BN169" s="546"/>
      <c r="BP169" s="472">
        <f t="shared" si="213"/>
        <v>354</v>
      </c>
      <c r="BQ169" s="546">
        <f t="shared" si="214"/>
        <v>6.1755495994771863E-2</v>
      </c>
      <c r="BR169" s="546">
        <f t="shared" si="215"/>
        <v>8.3894258709878766E-2</v>
      </c>
      <c r="BS169" s="546">
        <f t="shared" si="216"/>
        <v>4.9504749476808996E-2</v>
      </c>
      <c r="BT169" s="546">
        <f t="shared" si="217"/>
        <v>3.9228552675452805E-2</v>
      </c>
      <c r="BU169" s="546"/>
      <c r="BV169" s="655">
        <f t="shared" si="250"/>
        <v>2.9062962962962964E-2</v>
      </c>
      <c r="BW169" s="472">
        <f t="shared" si="219"/>
        <v>263.4460198198754</v>
      </c>
      <c r="BX169" s="179">
        <f t="shared" si="220"/>
        <v>0.78589208980123326</v>
      </c>
      <c r="BY169" s="6">
        <f t="shared" si="221"/>
        <v>3.9234999999999998</v>
      </c>
      <c r="BZ169" s="179">
        <f t="shared" si="222"/>
        <v>0.8331223914222009</v>
      </c>
      <c r="CA169" s="6">
        <f t="shared" si="223"/>
        <v>83.312239142220093</v>
      </c>
      <c r="CB169">
        <f t="shared" si="224"/>
        <v>59</v>
      </c>
      <c r="CD169" s="581">
        <f t="shared" si="251"/>
        <v>-50</v>
      </c>
      <c r="CE169">
        <f t="shared" si="252"/>
        <v>-50</v>
      </c>
    </row>
    <row r="170" spans="5:83" x14ac:dyDescent="0.2">
      <c r="E170" s="176">
        <v>60</v>
      </c>
      <c r="F170" s="223">
        <f t="shared" si="253"/>
        <v>0.6</v>
      </c>
      <c r="G170" s="223">
        <f t="shared" si="234"/>
        <v>0.3</v>
      </c>
      <c r="H170" s="223">
        <f t="shared" si="235"/>
        <v>3</v>
      </c>
      <c r="I170" s="223">
        <f t="shared" si="236"/>
        <v>0.98999999999999988</v>
      </c>
      <c r="J170" s="559">
        <f t="shared" si="171"/>
        <v>12</v>
      </c>
      <c r="K170" s="454">
        <f t="shared" si="172"/>
        <v>15.899999999999999</v>
      </c>
      <c r="L170" s="454">
        <f t="shared" si="173"/>
        <v>27.9</v>
      </c>
      <c r="M170" s="454"/>
      <c r="N170" s="223">
        <f t="shared" si="174"/>
        <v>0.56989247311827951</v>
      </c>
      <c r="O170" s="178">
        <f t="shared" si="237"/>
        <v>3.4707737084647103</v>
      </c>
      <c r="P170" s="178">
        <f t="shared" si="238"/>
        <v>1.5233225806451611</v>
      </c>
      <c r="Q170" s="223">
        <f t="shared" si="175"/>
        <v>0.69415474169294211</v>
      </c>
      <c r="R170" s="223">
        <f t="shared" si="239"/>
        <v>1.0517496086256699</v>
      </c>
      <c r="S170" s="223">
        <f t="shared" si="240"/>
        <v>5</v>
      </c>
      <c r="T170" s="223">
        <f t="shared" si="241"/>
        <v>1.2965408805031446</v>
      </c>
      <c r="U170" s="223">
        <f t="shared" si="179"/>
        <v>3.2413522012578619</v>
      </c>
      <c r="V170" s="223">
        <f t="shared" si="180"/>
        <v>2.4463035481191415</v>
      </c>
      <c r="W170" s="203">
        <f t="shared" si="181"/>
        <v>350</v>
      </c>
      <c r="X170" s="454">
        <f t="shared" si="182"/>
        <v>175.81936109785386</v>
      </c>
      <c r="Z170" s="223">
        <f t="shared" si="183"/>
        <v>0.65130568356374818</v>
      </c>
      <c r="AA170" s="179">
        <f t="shared" si="184"/>
        <v>1.2288786482334872</v>
      </c>
      <c r="AB170" s="179">
        <f t="shared" si="242"/>
        <v>0.31593775579129196</v>
      </c>
      <c r="AC170" s="179"/>
      <c r="AD170" s="179">
        <f t="shared" si="186"/>
        <v>0.5660377358490567</v>
      </c>
      <c r="AE170" s="563">
        <f t="shared" si="243"/>
        <v>2355.5555555555552</v>
      </c>
      <c r="AF170" s="546">
        <f t="shared" si="244"/>
        <v>8.9150943396226423E-2</v>
      </c>
      <c r="AH170" s="179">
        <f t="shared" si="245"/>
        <v>0.87177978870813466</v>
      </c>
      <c r="AI170" s="179">
        <f t="shared" si="246"/>
        <v>1.2965408805031446</v>
      </c>
      <c r="AJ170" s="179">
        <f t="shared" si="247"/>
        <v>1.9381784300023293</v>
      </c>
      <c r="AL170" s="563">
        <f t="shared" si="248"/>
        <v>600</v>
      </c>
      <c r="AM170" s="472">
        <f t="shared" si="249"/>
        <v>175.81936109785386</v>
      </c>
      <c r="AO170">
        <f t="shared" si="194"/>
        <v>600</v>
      </c>
      <c r="AP170">
        <f t="shared" si="195"/>
        <v>175.81936109785386</v>
      </c>
      <c r="AR170" s="6">
        <f t="shared" si="233"/>
        <v>5.6876557493770035</v>
      </c>
      <c r="AS170" s="6">
        <f t="shared" si="230"/>
        <v>3.2413522012578619</v>
      </c>
      <c r="AT170" s="6">
        <f t="shared" si="231"/>
        <v>2.4463035481191415</v>
      </c>
      <c r="AU170" s="179">
        <f t="shared" si="232"/>
        <v>0.56989247311827951</v>
      </c>
      <c r="AW170" s="6">
        <f t="shared" ref="AW170:AW210" si="254">F170*AS170/Vout_ripple*1000</f>
        <v>38.89622641509434</v>
      </c>
      <c r="AX170" s="6">
        <f t="shared" ref="AX170:AX210" si="255">G170*AS170/Vout_ripple2*1000</f>
        <v>29.466838193253292</v>
      </c>
      <c r="AY170" s="6">
        <f t="shared" ref="AY170:AY210" si="256">H170/Efficiency/J170*AT170/Vinripple1</f>
        <v>0.56627396947202335</v>
      </c>
      <c r="AZ170" s="6"/>
      <c r="BA170" s="179">
        <f t="shared" ref="BA170:BA210" si="257">AI170*SQRT(AU170/3)</f>
        <v>0.56509575902201159</v>
      </c>
      <c r="BB170" s="179">
        <f t="shared" ref="BB170:BB210" si="258">AI170*Npri_sec1*SQRT((1-AU170)/3)*(Pout/Pout_total)</f>
        <v>1.4727714733337411</v>
      </c>
      <c r="BC170" s="179">
        <f t="shared" ref="BC170:BC210" si="259">AI170*Npri_sec2*SQRT((1-AU170)/3)*(Pout2/Pout_total)</f>
        <v>0.71552147412797595</v>
      </c>
      <c r="BD170" s="179"/>
      <c r="BE170" s="546">
        <f t="shared" ref="BE170:BE210" si="260">Rdson*BA170^2</f>
        <v>0.11176662590263217</v>
      </c>
      <c r="BF170" s="546">
        <f t="shared" ref="BF170:BF210" si="261">0.5*L170*AI170*AM170*1000*Trise</f>
        <v>4.7699999999999979E-2</v>
      </c>
      <c r="BG170" s="546">
        <f t="shared" ref="BG170:BG210" si="262">Qg*Vdd*AM170*1000</f>
        <v>2.1977420137231731E-3</v>
      </c>
      <c r="BH170" s="546">
        <f t="shared" ref="BH170:BH210" si="263">0.5*(Coss+Csw)*L170^2*AM170*1000</f>
        <v>6.8429774436090211E-3</v>
      </c>
      <c r="BI170">
        <f t="shared" ref="BI170:BI210" si="264">J170*IQ</f>
        <v>3.48E-3</v>
      </c>
      <c r="BK170" s="472">
        <f t="shared" ref="BK170:BK210" si="265">SUM(BE170:BI170)*1000</f>
        <v>171.98734535996434</v>
      </c>
      <c r="BL170" s="179">
        <f t="shared" ref="BL170:BL210" si="266">Vfwd2*F170</f>
        <v>0.24</v>
      </c>
      <c r="BM170" s="179">
        <f t="shared" ref="BM170:BM210" si="267">Vfwd2*G170</f>
        <v>0.12</v>
      </c>
      <c r="BN170" s="546"/>
      <c r="BP170" s="472">
        <f t="shared" ref="BP170:BP210" si="268">SUM(BL170:BO170)*1000</f>
        <v>360</v>
      </c>
      <c r="BQ170" s="546">
        <f t="shared" ref="BQ170:BQ210" si="269">Rdcr_pri*BA170^2</f>
        <v>6.3866643372932672E-2</v>
      </c>
      <c r="BR170" s="546">
        <f t="shared" ref="BR170:BR210" si="270">Rdcr_sec*BB170^2</f>
        <v>8.6762232506625542E-2</v>
      </c>
      <c r="BS170" s="546">
        <f t="shared" ref="BS170:BS210" si="271">Rdcr_sec2*BC170^2</f>
        <v>5.1197097993827184E-2</v>
      </c>
      <c r="BT170" s="546">
        <f t="shared" ref="BT170:BT210" si="272">AI170^2.5*AM170^2.5*k_core</f>
        <v>3.9228552675452812E-2</v>
      </c>
      <c r="BU170" s="546"/>
      <c r="BV170" s="655">
        <f t="shared" si="250"/>
        <v>2.955555555555555E-2</v>
      </c>
      <c r="BW170" s="472">
        <f t="shared" ref="BW170:BW192" si="273">SUM(BQ170:BV170)*1000</f>
        <v>270.61008210439377</v>
      </c>
      <c r="BX170" s="179">
        <f t="shared" ref="BX170:BX192" si="274">SUM(BE170:BI170,BL170:BO170,BQ170:BV170)</f>
        <v>0.80259742746435814</v>
      </c>
      <c r="BY170" s="6">
        <f t="shared" ref="BY170:BY192" si="275">MIN(H170+I170,O170+P170)</f>
        <v>3.9899999999999998</v>
      </c>
      <c r="BZ170" s="179">
        <f t="shared" ref="BZ170:BZ192" si="276">BY170/(BY170+BX170)</f>
        <v>0.83253393601035419</v>
      </c>
      <c r="CA170" s="6">
        <f t="shared" ref="CA170:CA192" si="277">BZ170*100</f>
        <v>83.253393601035413</v>
      </c>
      <c r="CB170">
        <f t="shared" ref="CB170:CB192" si="278">F170/Iout*100</f>
        <v>60</v>
      </c>
      <c r="CD170" s="581">
        <f t="shared" si="251"/>
        <v>-50</v>
      </c>
      <c r="CE170">
        <f t="shared" si="252"/>
        <v>-50</v>
      </c>
    </row>
    <row r="171" spans="5:83" x14ac:dyDescent="0.2">
      <c r="E171" s="176">
        <v>61</v>
      </c>
      <c r="F171" s="223">
        <f t="shared" si="253"/>
        <v>0.61</v>
      </c>
      <c r="G171" s="223">
        <f t="shared" si="234"/>
        <v>0.30499999999999999</v>
      </c>
      <c r="H171" s="223">
        <f t="shared" si="235"/>
        <v>3.05</v>
      </c>
      <c r="I171" s="223">
        <f t="shared" si="236"/>
        <v>1.0065</v>
      </c>
      <c r="J171" s="559">
        <f t="shared" si="171"/>
        <v>12</v>
      </c>
      <c r="K171" s="454">
        <f t="shared" si="172"/>
        <v>15.899999999999999</v>
      </c>
      <c r="L171" s="454">
        <f t="shared" si="173"/>
        <v>27.9</v>
      </c>
      <c r="M171" s="454"/>
      <c r="N171" s="223">
        <f t="shared" si="174"/>
        <v>0.56989247311827951</v>
      </c>
      <c r="O171" s="178">
        <f t="shared" si="237"/>
        <v>3.4707737084647103</v>
      </c>
      <c r="P171" s="178">
        <f t="shared" si="238"/>
        <v>1.5233225806451611</v>
      </c>
      <c r="Q171" s="223">
        <f t="shared" si="175"/>
        <v>0.69415474169294211</v>
      </c>
      <c r="R171" s="223">
        <f t="shared" si="239"/>
        <v>1.0517496086256699</v>
      </c>
      <c r="S171" s="223">
        <f t="shared" si="240"/>
        <v>5</v>
      </c>
      <c r="T171" s="223">
        <f t="shared" si="241"/>
        <v>1.3181498951781971</v>
      </c>
      <c r="U171" s="223">
        <f t="shared" si="179"/>
        <v>3.295374737945493</v>
      </c>
      <c r="V171" s="223">
        <f t="shared" si="180"/>
        <v>2.487075273921127</v>
      </c>
      <c r="W171" s="203">
        <f t="shared" si="181"/>
        <v>350</v>
      </c>
      <c r="X171" s="454">
        <f t="shared" si="182"/>
        <v>172.93707648969232</v>
      </c>
      <c r="Z171" s="223">
        <f t="shared" si="183"/>
        <v>0.65130568356374818</v>
      </c>
      <c r="AA171" s="179">
        <f t="shared" si="184"/>
        <v>1.2288786482334872</v>
      </c>
      <c r="AB171" s="179">
        <f t="shared" si="242"/>
        <v>0.31593775579129196</v>
      </c>
      <c r="AC171" s="179"/>
      <c r="AD171" s="179">
        <f t="shared" si="186"/>
        <v>0.5660377358490567</v>
      </c>
      <c r="AE171" s="563">
        <f t="shared" si="243"/>
        <v>2394.8148148148143</v>
      </c>
      <c r="AF171" s="546">
        <f t="shared" si="244"/>
        <v>8.9150943396226423E-2</v>
      </c>
      <c r="AH171" s="179">
        <f t="shared" si="245"/>
        <v>0.87901459980290808</v>
      </c>
      <c r="AI171" s="179">
        <f t="shared" si="246"/>
        <v>1.3181498951781971</v>
      </c>
      <c r="AJ171" s="179">
        <f t="shared" si="247"/>
        <v>1.9541851075394052</v>
      </c>
      <c r="AL171" s="563">
        <f t="shared" si="248"/>
        <v>610</v>
      </c>
      <c r="AM171" s="472">
        <f t="shared" si="249"/>
        <v>172.93707648969232</v>
      </c>
      <c r="AO171">
        <f t="shared" si="194"/>
        <v>610</v>
      </c>
      <c r="AP171">
        <f t="shared" si="195"/>
        <v>172.93707648969232</v>
      </c>
      <c r="AR171" s="6">
        <f t="shared" si="233"/>
        <v>5.7824500118666204</v>
      </c>
      <c r="AS171" s="6">
        <f t="shared" si="230"/>
        <v>3.295374737945493</v>
      </c>
      <c r="AT171" s="6">
        <f t="shared" si="231"/>
        <v>2.4870752739211275</v>
      </c>
      <c r="AU171" s="179">
        <f t="shared" si="232"/>
        <v>0.56989247311827951</v>
      </c>
      <c r="AW171" s="6">
        <f t="shared" si="254"/>
        <v>40.203571802935016</v>
      </c>
      <c r="AX171" s="6">
        <f t="shared" si="255"/>
        <v>30.457251365859861</v>
      </c>
      <c r="AY171" s="6">
        <f t="shared" si="256"/>
        <v>0.58530706677927757</v>
      </c>
      <c r="AZ171" s="6"/>
      <c r="BA171" s="179">
        <f t="shared" si="257"/>
        <v>0.57451402167237853</v>
      </c>
      <c r="BB171" s="179">
        <f t="shared" si="258"/>
        <v>1.4973176645559703</v>
      </c>
      <c r="BC171" s="179">
        <f t="shared" si="259"/>
        <v>0.72744683203010874</v>
      </c>
      <c r="BD171" s="179"/>
      <c r="BE171" s="546">
        <f t="shared" si="260"/>
        <v>0.11552322638435956</v>
      </c>
      <c r="BF171" s="546">
        <f t="shared" si="261"/>
        <v>4.7699999999999985E-2</v>
      </c>
      <c r="BG171" s="546">
        <f t="shared" si="262"/>
        <v>2.1617134561211539E-3</v>
      </c>
      <c r="BH171" s="546">
        <f t="shared" si="263"/>
        <v>6.7307974855170694E-3</v>
      </c>
      <c r="BI171">
        <f t="shared" si="264"/>
        <v>3.48E-3</v>
      </c>
      <c r="BK171" s="472">
        <f t="shared" si="265"/>
        <v>175.59573732599779</v>
      </c>
      <c r="BL171" s="179">
        <f t="shared" si="266"/>
        <v>0.24399999999999999</v>
      </c>
      <c r="BM171" s="179">
        <f t="shared" si="267"/>
        <v>0.122</v>
      </c>
      <c r="BN171" s="546"/>
      <c r="BP171" s="472">
        <f t="shared" si="268"/>
        <v>366</v>
      </c>
      <c r="BQ171" s="546">
        <f t="shared" si="269"/>
        <v>6.6013272219634045E-2</v>
      </c>
      <c r="BR171" s="546">
        <f t="shared" si="270"/>
        <v>8.9678407543653804E-2</v>
      </c>
      <c r="BS171" s="546">
        <f t="shared" si="271"/>
        <v>5.2917889343064128E-2</v>
      </c>
      <c r="BT171" s="546">
        <f t="shared" si="272"/>
        <v>3.9228552675452812E-2</v>
      </c>
      <c r="BU171" s="546"/>
      <c r="BV171" s="655">
        <f t="shared" si="250"/>
        <v>3.004814814814815E-2</v>
      </c>
      <c r="BW171" s="472">
        <f t="shared" si="273"/>
        <v>277.8862699299529</v>
      </c>
      <c r="BX171" s="179">
        <f t="shared" si="274"/>
        <v>0.81948200725595066</v>
      </c>
      <c r="BY171" s="6">
        <f t="shared" si="275"/>
        <v>4.0564999999999998</v>
      </c>
      <c r="BZ171" s="179">
        <f t="shared" si="276"/>
        <v>0.83193498129474663</v>
      </c>
      <c r="CA171" s="6">
        <f t="shared" si="277"/>
        <v>83.193498129474662</v>
      </c>
      <c r="CB171">
        <f t="shared" si="278"/>
        <v>61</v>
      </c>
      <c r="CD171" s="581">
        <f t="shared" si="251"/>
        <v>-50</v>
      </c>
      <c r="CE171">
        <f t="shared" si="252"/>
        <v>-50</v>
      </c>
    </row>
    <row r="172" spans="5:83" x14ac:dyDescent="0.2">
      <c r="E172" s="176">
        <v>62</v>
      </c>
      <c r="F172" s="223">
        <f t="shared" si="253"/>
        <v>0.62</v>
      </c>
      <c r="G172" s="223">
        <f t="shared" si="234"/>
        <v>0.31</v>
      </c>
      <c r="H172" s="223">
        <f t="shared" si="235"/>
        <v>3.1</v>
      </c>
      <c r="I172" s="223">
        <f t="shared" si="236"/>
        <v>1.0229999999999999</v>
      </c>
      <c r="J172" s="559">
        <f t="shared" si="171"/>
        <v>12</v>
      </c>
      <c r="K172" s="454">
        <f t="shared" si="172"/>
        <v>15.899999999999999</v>
      </c>
      <c r="L172" s="454">
        <f t="shared" si="173"/>
        <v>27.9</v>
      </c>
      <c r="M172" s="454"/>
      <c r="N172" s="223">
        <f t="shared" si="174"/>
        <v>0.56989247311827951</v>
      </c>
      <c r="O172" s="178">
        <f t="shared" si="237"/>
        <v>3.4707737084647103</v>
      </c>
      <c r="P172" s="178">
        <f t="shared" si="238"/>
        <v>1.5233225806451611</v>
      </c>
      <c r="Q172" s="223">
        <f t="shared" si="175"/>
        <v>0.69415474169294211</v>
      </c>
      <c r="R172" s="223">
        <f t="shared" si="239"/>
        <v>1.0517496086256699</v>
      </c>
      <c r="S172" s="223">
        <f t="shared" si="240"/>
        <v>5</v>
      </c>
      <c r="T172" s="223">
        <f t="shared" si="241"/>
        <v>1.3397589098532496</v>
      </c>
      <c r="U172" s="223">
        <f t="shared" si="179"/>
        <v>3.3493972746331244</v>
      </c>
      <c r="V172" s="223">
        <f t="shared" si="180"/>
        <v>2.527846999723113</v>
      </c>
      <c r="W172" s="203">
        <f t="shared" si="181"/>
        <v>350</v>
      </c>
      <c r="X172" s="454">
        <f t="shared" si="182"/>
        <v>170.14776880437469</v>
      </c>
      <c r="Z172" s="223">
        <f t="shared" si="183"/>
        <v>0.65130568356374818</v>
      </c>
      <c r="AA172" s="179">
        <f t="shared" si="184"/>
        <v>1.2288786482334872</v>
      </c>
      <c r="AB172" s="179">
        <f t="shared" si="242"/>
        <v>0.31593775579129196</v>
      </c>
      <c r="AC172" s="179"/>
      <c r="AD172" s="179">
        <f t="shared" si="186"/>
        <v>0.5660377358490567</v>
      </c>
      <c r="AE172" s="563">
        <f t="shared" si="243"/>
        <v>2434.0740740740739</v>
      </c>
      <c r="AF172" s="546">
        <f t="shared" si="244"/>
        <v>8.9150943396226423E-2</v>
      </c>
      <c r="AH172" s="179">
        <f t="shared" si="245"/>
        <v>0.88619034825105902</v>
      </c>
      <c r="AI172" s="179">
        <f t="shared" si="246"/>
        <v>1.3397589098532496</v>
      </c>
      <c r="AJ172" s="179">
        <f t="shared" si="247"/>
        <v>1.9701917850764812</v>
      </c>
      <c r="AL172" s="563">
        <f t="shared" si="248"/>
        <v>620</v>
      </c>
      <c r="AM172" s="472">
        <f t="shared" si="249"/>
        <v>170.14776880437469</v>
      </c>
      <c r="AO172">
        <f t="shared" si="194"/>
        <v>620</v>
      </c>
      <c r="AP172">
        <f t="shared" si="195"/>
        <v>170.14776880437469</v>
      </c>
      <c r="AR172" s="6">
        <f t="shared" si="233"/>
        <v>5.8772442743562374</v>
      </c>
      <c r="AS172" s="6">
        <f t="shared" si="230"/>
        <v>3.3493972746331244</v>
      </c>
      <c r="AT172" s="6">
        <f t="shared" si="231"/>
        <v>2.527846999723113</v>
      </c>
      <c r="AU172" s="179">
        <f t="shared" si="232"/>
        <v>0.56989247311827951</v>
      </c>
      <c r="AW172" s="6">
        <f t="shared" si="254"/>
        <v>41.532526205450743</v>
      </c>
      <c r="AX172" s="6">
        <f t="shared" si="255"/>
        <v>31.46403500412935</v>
      </c>
      <c r="AY172" s="6">
        <f t="shared" si="256"/>
        <v>0.60465476073623836</v>
      </c>
      <c r="AZ172" s="6"/>
      <c r="BA172" s="179">
        <f t="shared" si="257"/>
        <v>0.58393228432274535</v>
      </c>
      <c r="BB172" s="179">
        <f t="shared" si="258"/>
        <v>1.5218638557781994</v>
      </c>
      <c r="BC172" s="179">
        <f t="shared" si="259"/>
        <v>0.73937218993224185</v>
      </c>
      <c r="BD172" s="179"/>
      <c r="BE172" s="546">
        <f t="shared" si="260"/>
        <v>0.11934191943603283</v>
      </c>
      <c r="BF172" s="546">
        <f t="shared" si="261"/>
        <v>4.7699999999999979E-2</v>
      </c>
      <c r="BG172" s="546">
        <f t="shared" si="262"/>
        <v>2.1268471100546835E-3</v>
      </c>
      <c r="BH172" s="546">
        <f t="shared" si="263"/>
        <v>6.6222362357506656E-3</v>
      </c>
      <c r="BI172">
        <f t="shared" si="264"/>
        <v>3.48E-3</v>
      </c>
      <c r="BK172" s="472">
        <f t="shared" si="265"/>
        <v>179.27100278183815</v>
      </c>
      <c r="BL172" s="179">
        <f t="shared" si="266"/>
        <v>0.248</v>
      </c>
      <c r="BM172" s="179">
        <f t="shared" si="267"/>
        <v>0.124</v>
      </c>
      <c r="BN172" s="546"/>
      <c r="BP172" s="472">
        <f t="shared" si="268"/>
        <v>372</v>
      </c>
      <c r="BQ172" s="546">
        <f t="shared" si="269"/>
        <v>6.8195382534875906E-2</v>
      </c>
      <c r="BR172" s="546">
        <f t="shared" si="270"/>
        <v>9.2642783820963526E-2</v>
      </c>
      <c r="BS172" s="546">
        <f t="shared" si="271"/>
        <v>5.4667123524519912E-2</v>
      </c>
      <c r="BT172" s="546">
        <f t="shared" si="272"/>
        <v>3.9228552675452853E-2</v>
      </c>
      <c r="BU172" s="546"/>
      <c r="BV172" s="655">
        <f t="shared" si="250"/>
        <v>3.054074074074074E-2</v>
      </c>
      <c r="BW172" s="472">
        <f t="shared" si="273"/>
        <v>285.27458329655292</v>
      </c>
      <c r="BX172" s="179">
        <f t="shared" si="274"/>
        <v>0.83654558607839113</v>
      </c>
      <c r="BY172" s="6">
        <f t="shared" si="275"/>
        <v>4.1230000000000002</v>
      </c>
      <c r="BZ172" s="179">
        <f t="shared" si="276"/>
        <v>0.83132616253662384</v>
      </c>
      <c r="CA172" s="6">
        <f t="shared" si="277"/>
        <v>83.132616253662377</v>
      </c>
      <c r="CB172">
        <f t="shared" si="278"/>
        <v>62</v>
      </c>
      <c r="CD172" s="581">
        <f t="shared" si="251"/>
        <v>-50</v>
      </c>
      <c r="CE172">
        <f t="shared" si="252"/>
        <v>-50</v>
      </c>
    </row>
    <row r="173" spans="5:83" x14ac:dyDescent="0.2">
      <c r="E173" s="176">
        <v>63</v>
      </c>
      <c r="F173" s="223">
        <f t="shared" si="253"/>
        <v>0.63</v>
      </c>
      <c r="G173" s="223">
        <f t="shared" si="234"/>
        <v>0.315</v>
      </c>
      <c r="H173" s="223">
        <f t="shared" si="235"/>
        <v>3.15</v>
      </c>
      <c r="I173" s="223">
        <f t="shared" si="236"/>
        <v>1.0394999999999999</v>
      </c>
      <c r="J173" s="559">
        <f t="shared" si="171"/>
        <v>12</v>
      </c>
      <c r="K173" s="454">
        <f t="shared" si="172"/>
        <v>15.899999999999999</v>
      </c>
      <c r="L173" s="454">
        <f t="shared" si="173"/>
        <v>27.9</v>
      </c>
      <c r="M173" s="454"/>
      <c r="N173" s="223">
        <f t="shared" si="174"/>
        <v>0.56989247311827951</v>
      </c>
      <c r="O173" s="178">
        <f t="shared" si="237"/>
        <v>3.4707737084647103</v>
      </c>
      <c r="P173" s="178">
        <f t="shared" si="238"/>
        <v>1.5233225806451611</v>
      </c>
      <c r="Q173" s="223">
        <f t="shared" si="175"/>
        <v>0.69415474169294211</v>
      </c>
      <c r="R173" s="223">
        <f t="shared" si="239"/>
        <v>1.0517496086256699</v>
      </c>
      <c r="S173" s="223">
        <f t="shared" si="240"/>
        <v>5</v>
      </c>
      <c r="T173" s="223">
        <f t="shared" si="241"/>
        <v>1.3613679245283019</v>
      </c>
      <c r="U173" s="223">
        <f t="shared" si="179"/>
        <v>3.4034198113207546</v>
      </c>
      <c r="V173" s="223">
        <f t="shared" si="180"/>
        <v>2.5686187255250981</v>
      </c>
      <c r="W173" s="203">
        <f t="shared" si="181"/>
        <v>350</v>
      </c>
      <c r="X173" s="454">
        <f t="shared" si="182"/>
        <v>167.44701056938464</v>
      </c>
      <c r="Z173" s="223">
        <f t="shared" si="183"/>
        <v>0.65130568356374818</v>
      </c>
      <c r="AA173" s="179">
        <f t="shared" si="184"/>
        <v>1.2288786482334872</v>
      </c>
      <c r="AB173" s="179">
        <f t="shared" si="242"/>
        <v>0.31593775579129196</v>
      </c>
      <c r="AC173" s="179"/>
      <c r="AD173" s="179">
        <f t="shared" si="186"/>
        <v>0.5660377358490567</v>
      </c>
      <c r="AE173" s="563">
        <f t="shared" si="243"/>
        <v>2473.333333333333</v>
      </c>
      <c r="AF173" s="546">
        <f t="shared" si="244"/>
        <v>8.9150943396226423E-2</v>
      </c>
      <c r="AH173" s="179">
        <f t="shared" si="245"/>
        <v>0.89330845736509179</v>
      </c>
      <c r="AI173" s="179">
        <f t="shared" si="246"/>
        <v>1.3613679245283019</v>
      </c>
      <c r="AJ173" s="179">
        <f t="shared" si="247"/>
        <v>1.9861984626135569</v>
      </c>
      <c r="AL173" s="563">
        <f t="shared" si="248"/>
        <v>630</v>
      </c>
      <c r="AM173" s="472">
        <f t="shared" si="249"/>
        <v>167.44701056938464</v>
      </c>
      <c r="AO173">
        <f t="shared" si="194"/>
        <v>630</v>
      </c>
      <c r="AP173">
        <f t="shared" si="195"/>
        <v>167.44701056938464</v>
      </c>
      <c r="AR173" s="6">
        <f t="shared" si="233"/>
        <v>5.9720385368458535</v>
      </c>
      <c r="AS173" s="6">
        <f t="shared" si="230"/>
        <v>3.4034198113207546</v>
      </c>
      <c r="AT173" s="6">
        <f t="shared" si="231"/>
        <v>2.568618725525099</v>
      </c>
      <c r="AU173" s="179">
        <f t="shared" si="232"/>
        <v>0.56989247311827951</v>
      </c>
      <c r="AW173" s="6">
        <f t="shared" si="254"/>
        <v>42.883089622641506</v>
      </c>
      <c r="AX173" s="6">
        <f t="shared" si="255"/>
        <v>32.487189108061749</v>
      </c>
      <c r="AY173" s="6">
        <f t="shared" si="256"/>
        <v>0.62431705134290594</v>
      </c>
      <c r="AZ173" s="6"/>
      <c r="BA173" s="179">
        <f t="shared" si="257"/>
        <v>0.59335054697311218</v>
      </c>
      <c r="BB173" s="179">
        <f t="shared" si="258"/>
        <v>1.5464100470004281</v>
      </c>
      <c r="BC173" s="179">
        <f t="shared" si="259"/>
        <v>0.75129754783437463</v>
      </c>
      <c r="BD173" s="179"/>
      <c r="BE173" s="546">
        <f t="shared" si="260"/>
        <v>0.12322270505765198</v>
      </c>
      <c r="BF173" s="546">
        <f t="shared" si="261"/>
        <v>4.7699999999999985E-2</v>
      </c>
      <c r="BG173" s="546">
        <f t="shared" si="262"/>
        <v>2.0930876321173081E-3</v>
      </c>
      <c r="BH173" s="546">
        <f t="shared" si="263"/>
        <v>6.5171213748657347E-3</v>
      </c>
      <c r="BI173">
        <f t="shared" si="264"/>
        <v>3.48E-3</v>
      </c>
      <c r="BK173" s="472">
        <f t="shared" si="265"/>
        <v>183.01291406463503</v>
      </c>
      <c r="BL173" s="179">
        <f t="shared" si="266"/>
        <v>0.252</v>
      </c>
      <c r="BM173" s="179">
        <f t="shared" si="267"/>
        <v>0.126</v>
      </c>
      <c r="BN173" s="546"/>
      <c r="BP173" s="472">
        <f t="shared" si="268"/>
        <v>378</v>
      </c>
      <c r="BQ173" s="546">
        <f t="shared" si="269"/>
        <v>7.0412974318658283E-2</v>
      </c>
      <c r="BR173" s="546">
        <f t="shared" si="270"/>
        <v>9.5655361338554651E-2</v>
      </c>
      <c r="BS173" s="546">
        <f t="shared" si="271"/>
        <v>5.6444800538194444E-2</v>
      </c>
      <c r="BT173" s="546">
        <f t="shared" si="272"/>
        <v>3.922855267545286E-2</v>
      </c>
      <c r="BU173" s="546"/>
      <c r="BV173" s="655">
        <f t="shared" si="250"/>
        <v>3.1033333333333333E-2</v>
      </c>
      <c r="BW173" s="472">
        <f t="shared" si="273"/>
        <v>292.77502220419359</v>
      </c>
      <c r="BX173" s="179">
        <f t="shared" si="274"/>
        <v>0.85378793626882865</v>
      </c>
      <c r="BY173" s="6">
        <f t="shared" si="275"/>
        <v>4.1894999999999998</v>
      </c>
      <c r="BZ173" s="179">
        <f t="shared" si="276"/>
        <v>0.83070807238095434</v>
      </c>
      <c r="CA173" s="6">
        <f t="shared" si="277"/>
        <v>83.070807238095441</v>
      </c>
      <c r="CB173">
        <f t="shared" si="278"/>
        <v>63</v>
      </c>
      <c r="CD173" s="581">
        <f t="shared" si="251"/>
        <v>-50</v>
      </c>
      <c r="CE173">
        <f t="shared" si="252"/>
        <v>-50</v>
      </c>
    </row>
    <row r="174" spans="5:83" x14ac:dyDescent="0.2">
      <c r="E174" s="176">
        <v>64</v>
      </c>
      <c r="F174" s="223">
        <f t="shared" si="253"/>
        <v>0.64</v>
      </c>
      <c r="G174" s="223">
        <f t="shared" ref="G174:G210" si="279">IF(PLOT_TYPE=1, E174/100*Iout2, min_I*EXP(Q174*rr/100))</f>
        <v>0.32</v>
      </c>
      <c r="H174" s="223">
        <f t="shared" ref="H174:H210" si="280">F174*Vout</f>
        <v>3.2</v>
      </c>
      <c r="I174" s="223">
        <f t="shared" ref="I174:I210" si="281">Vout2*G174</f>
        <v>1.056</v>
      </c>
      <c r="J174" s="559">
        <f t="shared" ref="J174:J210" si="282">VIN_min</f>
        <v>12</v>
      </c>
      <c r="K174" s="454">
        <f t="shared" ref="K174:K210" si="283">(S174+Vfwd1)*Nps</f>
        <v>15.899999999999999</v>
      </c>
      <c r="L174" s="454">
        <f t="shared" ref="L174:L210" si="284">(Vout+Vfwd1)*Nps+J174</f>
        <v>27.9</v>
      </c>
      <c r="M174" s="454"/>
      <c r="N174" s="223">
        <f t="shared" ref="N174:N210" si="285">(Vout+Vfwd1)*Nps/((Vout+Vfwd1)*Nps+J174)</f>
        <v>0.56989247311827951</v>
      </c>
      <c r="O174" s="178">
        <f t="shared" ref="O174:O205" si="286">N174*J174*Isw_max*0.5*Efficiency*Pout/(Pout+Pout2)</f>
        <v>3.4707737084647103</v>
      </c>
      <c r="P174" s="178">
        <f t="shared" ref="P174:P210" si="287">N174*J174*Isw_max*0.5*Efficiency*(Pout2/Pout_total)</f>
        <v>1.5233225806451611</v>
      </c>
      <c r="Q174" s="223">
        <f t="shared" ref="Q174:Q210" si="288">O174/Vout</f>
        <v>0.69415474169294211</v>
      </c>
      <c r="R174" s="223">
        <f t="shared" ref="R174:R210" si="289">O174/Vout2</f>
        <v>1.0517496086256699</v>
      </c>
      <c r="S174" s="223">
        <f t="shared" ref="S174:S210" si="290">MIN(Vout,O174/F174)</f>
        <v>5</v>
      </c>
      <c r="T174" s="223">
        <f t="shared" ref="T174:T210" si="291">MIN(2*(Vout*F174+Vout2*G174)/(Efficiency*J174*N174), Isw_max)</f>
        <v>1.3829769392033544</v>
      </c>
      <c r="U174" s="223">
        <f t="shared" ref="U174:U210" si="292">L*T174/J174*1000000</f>
        <v>3.457442348008386</v>
      </c>
      <c r="V174" s="223">
        <f t="shared" ref="V174:V210" si="293">L*T174/K174*1000000</f>
        <v>2.609390451327084</v>
      </c>
      <c r="W174" s="203">
        <f t="shared" ref="W174:W210" si="294">IF(1/((350000*L)*(1/J174+1/K174))&gt;Isw_min, 350, 0.001/((Isw_min*L)*(1/J174+1/K174)))</f>
        <v>350</v>
      </c>
      <c r="X174" s="454">
        <f t="shared" ref="X174:X210" si="295">MIN(1/(U174+V174)*1000, 350)</f>
        <v>164.830651029238</v>
      </c>
      <c r="Z174" s="223">
        <f t="shared" ref="Z174:Z210" si="296">1/((W174*1000*L)*(1/J174+1/K174))</f>
        <v>0.65130568356374818</v>
      </c>
      <c r="AA174" s="179">
        <f t="shared" ref="AA174:AA210" si="297">L*Z174/K174*1000000</f>
        <v>1.2288786482334872</v>
      </c>
      <c r="AB174" s="179">
        <f t="shared" ref="AB174:AB205" si="298">0.5*AA174*Z174*Nps*W174/1000*(Pout/(Pout+Pout2))</f>
        <v>0.31593775579129196</v>
      </c>
      <c r="AC174" s="179"/>
      <c r="AD174" s="179">
        <f t="shared" ref="AD174:AD210" si="299">L*Isw_min/K174*1000000</f>
        <v>0.5660377358490567</v>
      </c>
      <c r="AE174" s="563">
        <f t="shared" ref="AE174:AE205" si="300">MAX(10, F174/(0.5*AD174/1000000*Isw_min*Nps)/1000*Pout_total/Pout)</f>
        <v>2512.5925925925922</v>
      </c>
      <c r="AF174" s="546">
        <f t="shared" ref="AF174:AF210" si="301">0.5*AD174/1000000*Isw_min*Nps*W174*1000*(Pout/Pout_total)</f>
        <v>8.9150943396226423E-2</v>
      </c>
      <c r="AH174" s="179">
        <f t="shared" ref="AH174:AH210" si="302">SQRT((H174+I174)/(0.5*L*Fsw_DCM))</f>
        <v>0.90037029419382042</v>
      </c>
      <c r="AI174" s="179">
        <f t="shared" ref="AI174:AI205" si="303">MAX(IF(F174&gt;AB174,T174,AH174),Isw_min)</f>
        <v>1.3829769392033544</v>
      </c>
      <c r="AJ174" s="179">
        <f t="shared" ref="AJ174:AJ205" si="304">IF(F174&gt;AF174, (AI174-Isw_min)/1.08*0.8+1.2, AE174*0.2/350+1)</f>
        <v>2.0022051401506329</v>
      </c>
      <c r="AL174" s="563">
        <f t="shared" ref="AL174:AL210" si="305">F174*1000</f>
        <v>640</v>
      </c>
      <c r="AM174" s="472">
        <f t="shared" ref="AM174:AM210" si="306">IF(F174&gt;AF174, X174, AE174)</f>
        <v>164.830651029238</v>
      </c>
      <c r="AO174">
        <f t="shared" ref="AO174:AO210" si="307">IF(H174&gt;O174, "",AL174)</f>
        <v>640</v>
      </c>
      <c r="AP174">
        <f t="shared" ref="AP174:AP210" si="308">IF(H174&gt;O174, "",AM174)</f>
        <v>164.830651029238</v>
      </c>
      <c r="AR174" s="6">
        <f t="shared" si="233"/>
        <v>6.0668327993354705</v>
      </c>
      <c r="AS174" s="6">
        <f t="shared" si="230"/>
        <v>3.457442348008386</v>
      </c>
      <c r="AT174" s="6">
        <f t="shared" si="231"/>
        <v>2.6093904513270845</v>
      </c>
      <c r="AU174" s="179">
        <f t="shared" si="232"/>
        <v>0.56989247311827951</v>
      </c>
      <c r="AW174" s="6">
        <f t="shared" si="254"/>
        <v>44.255262054507341</v>
      </c>
      <c r="AX174" s="6">
        <f t="shared" si="255"/>
        <v>33.526713677657078</v>
      </c>
      <c r="AY174" s="6">
        <f t="shared" si="256"/>
        <v>0.64429393859928008</v>
      </c>
      <c r="AZ174" s="6"/>
      <c r="BA174" s="179">
        <f t="shared" si="257"/>
        <v>0.60276880962347912</v>
      </c>
      <c r="BB174" s="179">
        <f t="shared" si="258"/>
        <v>1.5709562382226574</v>
      </c>
      <c r="BC174" s="179">
        <f t="shared" si="259"/>
        <v>0.76322290573650764</v>
      </c>
      <c r="BD174" s="179"/>
      <c r="BE174" s="546">
        <f t="shared" si="260"/>
        <v>0.12716558324921712</v>
      </c>
      <c r="BF174" s="546">
        <f t="shared" si="261"/>
        <v>4.7699999999999985E-2</v>
      </c>
      <c r="BG174" s="546">
        <f t="shared" si="262"/>
        <v>2.0603831378654749E-3</v>
      </c>
      <c r="BH174" s="546">
        <f t="shared" si="263"/>
        <v>6.4152913533834571E-3</v>
      </c>
      <c r="BI174">
        <f t="shared" si="264"/>
        <v>3.48E-3</v>
      </c>
      <c r="BK174" s="472">
        <f t="shared" si="265"/>
        <v>186.82125774046605</v>
      </c>
      <c r="BL174" s="179">
        <f t="shared" si="266"/>
        <v>0.25600000000000001</v>
      </c>
      <c r="BM174" s="179">
        <f t="shared" si="267"/>
        <v>0.128</v>
      </c>
      <c r="BN174" s="546"/>
      <c r="BP174" s="472">
        <f t="shared" si="268"/>
        <v>384</v>
      </c>
      <c r="BQ174" s="546">
        <f t="shared" si="269"/>
        <v>7.2666047570981204E-2</v>
      </c>
      <c r="BR174" s="546">
        <f t="shared" si="270"/>
        <v>9.8716140096427304E-2</v>
      </c>
      <c r="BS174" s="546">
        <f t="shared" si="271"/>
        <v>5.8250920384087801E-2</v>
      </c>
      <c r="BT174" s="546">
        <f t="shared" si="272"/>
        <v>3.9228552675452825E-2</v>
      </c>
      <c r="BU174" s="546"/>
      <c r="BV174" s="655">
        <f t="shared" ref="BV174:BV210" si="309">0.5*Lleak*0.000000001*AI174^2*AM174*1000</f>
        <v>3.1525925925925923E-2</v>
      </c>
      <c r="BW174" s="472">
        <f t="shared" si="273"/>
        <v>300.38758665287503</v>
      </c>
      <c r="BX174" s="179">
        <f t="shared" si="274"/>
        <v>0.87120884439334101</v>
      </c>
      <c r="BY174" s="6">
        <f t="shared" si="275"/>
        <v>4.2560000000000002</v>
      </c>
      <c r="BZ174" s="179">
        <f t="shared" si="276"/>
        <v>0.83008126432259188</v>
      </c>
      <c r="CA174" s="6">
        <f t="shared" si="277"/>
        <v>83.008126432259189</v>
      </c>
      <c r="CB174">
        <f t="shared" si="278"/>
        <v>64</v>
      </c>
      <c r="CD174" s="581">
        <f t="shared" ref="CD174:CD210" si="310">IF(ABS(F174-Ioutmax_Vinmin)&lt;Iout/200, AM174, -50)</f>
        <v>-50</v>
      </c>
      <c r="CE174">
        <f t="shared" ref="CE174:CE210" si="311">IF(ABS(F174-Ioutmax_Vinmin)&lt;Iout/200, (O174+P174)*BZ174, -50)</f>
        <v>-50</v>
      </c>
    </row>
    <row r="175" spans="5:83" x14ac:dyDescent="0.2">
      <c r="E175" s="176">
        <v>65</v>
      </c>
      <c r="F175" s="223">
        <f t="shared" ref="F175:F206" si="312">IF(PLOT_TYPE=1, E175/100*Iout_max, min_I*EXP(O175*rr/100))</f>
        <v>0.65</v>
      </c>
      <c r="G175" s="223">
        <f t="shared" si="279"/>
        <v>0.32500000000000001</v>
      </c>
      <c r="H175" s="223">
        <f t="shared" si="280"/>
        <v>3.25</v>
      </c>
      <c r="I175" s="223">
        <f t="shared" si="281"/>
        <v>1.0725</v>
      </c>
      <c r="J175" s="559">
        <f t="shared" si="282"/>
        <v>12</v>
      </c>
      <c r="K175" s="454">
        <f t="shared" si="283"/>
        <v>15.899999999999999</v>
      </c>
      <c r="L175" s="454">
        <f t="shared" si="284"/>
        <v>27.9</v>
      </c>
      <c r="M175" s="454"/>
      <c r="N175" s="223">
        <f t="shared" si="285"/>
        <v>0.56989247311827951</v>
      </c>
      <c r="O175" s="178">
        <f t="shared" si="286"/>
        <v>3.4707737084647103</v>
      </c>
      <c r="P175" s="178">
        <f t="shared" si="287"/>
        <v>1.5233225806451611</v>
      </c>
      <c r="Q175" s="223">
        <f t="shared" si="288"/>
        <v>0.69415474169294211</v>
      </c>
      <c r="R175" s="223">
        <f t="shared" si="289"/>
        <v>1.0517496086256699</v>
      </c>
      <c r="S175" s="223">
        <f t="shared" si="290"/>
        <v>5</v>
      </c>
      <c r="T175" s="223">
        <f t="shared" si="291"/>
        <v>1.4045859538784067</v>
      </c>
      <c r="U175" s="223">
        <f t="shared" si="292"/>
        <v>3.5114648846960166</v>
      </c>
      <c r="V175" s="223">
        <f t="shared" si="293"/>
        <v>2.6501621771290691</v>
      </c>
      <c r="W175" s="203">
        <f t="shared" si="294"/>
        <v>350</v>
      </c>
      <c r="X175" s="454">
        <f t="shared" si="295"/>
        <v>162.29479485955744</v>
      </c>
      <c r="Z175" s="223">
        <f t="shared" si="296"/>
        <v>0.65130568356374818</v>
      </c>
      <c r="AA175" s="179">
        <f t="shared" si="297"/>
        <v>1.2288786482334872</v>
      </c>
      <c r="AB175" s="179">
        <f t="shared" si="298"/>
        <v>0.31593775579129196</v>
      </c>
      <c r="AC175" s="179"/>
      <c r="AD175" s="179">
        <f t="shared" si="299"/>
        <v>0.5660377358490567</v>
      </c>
      <c r="AE175" s="563">
        <f t="shared" si="300"/>
        <v>2551.8518518518517</v>
      </c>
      <c r="AF175" s="546">
        <f t="shared" si="301"/>
        <v>8.9150943396226423E-2</v>
      </c>
      <c r="AH175" s="179">
        <f t="shared" si="302"/>
        <v>0.90737717258774664</v>
      </c>
      <c r="AI175" s="179">
        <f t="shared" si="303"/>
        <v>1.4045859538784067</v>
      </c>
      <c r="AJ175" s="179">
        <f t="shared" si="304"/>
        <v>2.0182118176877086</v>
      </c>
      <c r="AL175" s="563">
        <f t="shared" si="305"/>
        <v>650</v>
      </c>
      <c r="AM175" s="472">
        <f t="shared" si="306"/>
        <v>162.29479485955744</v>
      </c>
      <c r="AO175">
        <f t="shared" si="307"/>
        <v>650</v>
      </c>
      <c r="AP175">
        <f t="shared" si="308"/>
        <v>162.29479485955744</v>
      </c>
      <c r="AR175" s="6">
        <f t="shared" si="233"/>
        <v>6.1616270618250857</v>
      </c>
      <c r="AS175" s="6">
        <f t="shared" si="230"/>
        <v>3.5114648846960166</v>
      </c>
      <c r="AT175" s="6">
        <f t="shared" si="231"/>
        <v>2.6501621771290691</v>
      </c>
      <c r="AU175" s="179">
        <f t="shared" si="232"/>
        <v>0.56989247311827962</v>
      </c>
      <c r="AW175" s="6">
        <f t="shared" si="254"/>
        <v>45.649043501048219</v>
      </c>
      <c r="AX175" s="6">
        <f t="shared" si="255"/>
        <v>34.582608712915317</v>
      </c>
      <c r="AY175" s="6">
        <f t="shared" si="256"/>
        <v>0.66458542250536068</v>
      </c>
      <c r="AZ175" s="6"/>
      <c r="BA175" s="179">
        <f t="shared" si="257"/>
        <v>0.61218707227384594</v>
      </c>
      <c r="BB175" s="179">
        <f t="shared" si="258"/>
        <v>1.5955024294448861</v>
      </c>
      <c r="BC175" s="179">
        <f t="shared" si="259"/>
        <v>0.77514826363864042</v>
      </c>
      <c r="BD175" s="179"/>
      <c r="BE175" s="546">
        <f t="shared" si="260"/>
        <v>0.13117055401072808</v>
      </c>
      <c r="BF175" s="546">
        <f t="shared" si="261"/>
        <v>4.7699999999999992E-2</v>
      </c>
      <c r="BG175" s="546">
        <f t="shared" si="262"/>
        <v>2.0286849357444682E-3</v>
      </c>
      <c r="BH175" s="546">
        <f t="shared" si="263"/>
        <v>6.3165945633314059E-3</v>
      </c>
      <c r="BI175">
        <f t="shared" si="264"/>
        <v>3.48E-3</v>
      </c>
      <c r="BK175" s="472">
        <f t="shared" si="265"/>
        <v>190.69583350980395</v>
      </c>
      <c r="BL175" s="179">
        <f t="shared" si="266"/>
        <v>0.26</v>
      </c>
      <c r="BM175" s="179">
        <f t="shared" si="267"/>
        <v>0.13</v>
      </c>
      <c r="BN175" s="546"/>
      <c r="BP175" s="472">
        <f t="shared" si="268"/>
        <v>390</v>
      </c>
      <c r="BQ175" s="546">
        <f t="shared" si="269"/>
        <v>7.4954602291844627E-2</v>
      </c>
      <c r="BR175" s="546">
        <f t="shared" si="270"/>
        <v>0.10182512009458135</v>
      </c>
      <c r="BS175" s="546">
        <f t="shared" si="271"/>
        <v>6.0085483062199921E-2</v>
      </c>
      <c r="BT175" s="546">
        <f t="shared" si="272"/>
        <v>3.9228552675452846E-2</v>
      </c>
      <c r="BU175" s="546"/>
      <c r="BV175" s="655">
        <f t="shared" si="309"/>
        <v>3.2018518518518523E-2</v>
      </c>
      <c r="BW175" s="472">
        <f t="shared" si="273"/>
        <v>308.11227664259724</v>
      </c>
      <c r="BX175" s="179">
        <f t="shared" si="274"/>
        <v>0.88880811015240135</v>
      </c>
      <c r="BY175" s="6">
        <f t="shared" si="275"/>
        <v>4.3224999999999998</v>
      </c>
      <c r="BZ175" s="179">
        <f t="shared" si="276"/>
        <v>0.82944625584104859</v>
      </c>
      <c r="CA175" s="6">
        <f t="shared" si="277"/>
        <v>82.944625584104855</v>
      </c>
      <c r="CB175">
        <f t="shared" si="278"/>
        <v>65</v>
      </c>
      <c r="CD175" s="581">
        <f t="shared" si="310"/>
        <v>-50</v>
      </c>
      <c r="CE175">
        <f t="shared" si="311"/>
        <v>-50</v>
      </c>
    </row>
    <row r="176" spans="5:83" x14ac:dyDescent="0.2">
      <c r="E176" s="176">
        <v>66</v>
      </c>
      <c r="F176" s="223">
        <f t="shared" si="312"/>
        <v>0.66</v>
      </c>
      <c r="G176" s="223">
        <f t="shared" si="279"/>
        <v>0.33</v>
      </c>
      <c r="H176" s="223">
        <f t="shared" si="280"/>
        <v>3.3000000000000003</v>
      </c>
      <c r="I176" s="223">
        <f t="shared" si="281"/>
        <v>1.089</v>
      </c>
      <c r="J176" s="559">
        <f t="shared" si="282"/>
        <v>12</v>
      </c>
      <c r="K176" s="454">
        <f t="shared" si="283"/>
        <v>15.899999999999999</v>
      </c>
      <c r="L176" s="454">
        <f t="shared" si="284"/>
        <v>27.9</v>
      </c>
      <c r="M176" s="454"/>
      <c r="N176" s="223">
        <f t="shared" si="285"/>
        <v>0.56989247311827951</v>
      </c>
      <c r="O176" s="178">
        <f t="shared" si="286"/>
        <v>3.4707737084647103</v>
      </c>
      <c r="P176" s="178">
        <f t="shared" si="287"/>
        <v>1.5233225806451611</v>
      </c>
      <c r="Q176" s="223">
        <f t="shared" si="288"/>
        <v>0.69415474169294211</v>
      </c>
      <c r="R176" s="223">
        <f t="shared" si="289"/>
        <v>1.0517496086256699</v>
      </c>
      <c r="S176" s="223">
        <f t="shared" si="290"/>
        <v>5</v>
      </c>
      <c r="T176" s="223">
        <f t="shared" si="291"/>
        <v>1.4261949685534594</v>
      </c>
      <c r="U176" s="223">
        <f t="shared" si="292"/>
        <v>3.5654874213836489</v>
      </c>
      <c r="V176" s="223">
        <f t="shared" si="293"/>
        <v>2.6909339029310559</v>
      </c>
      <c r="W176" s="203">
        <f t="shared" si="294"/>
        <v>350</v>
      </c>
      <c r="X176" s="454">
        <f t="shared" si="295"/>
        <v>159.83578281623076</v>
      </c>
      <c r="Z176" s="223">
        <f t="shared" si="296"/>
        <v>0.65130568356374818</v>
      </c>
      <c r="AA176" s="179">
        <f t="shared" si="297"/>
        <v>1.2288786482334872</v>
      </c>
      <c r="AB176" s="179">
        <f t="shared" si="298"/>
        <v>0.31593775579129196</v>
      </c>
      <c r="AC176" s="179"/>
      <c r="AD176" s="179">
        <f t="shared" si="299"/>
        <v>0.5660377358490567</v>
      </c>
      <c r="AE176" s="563">
        <f t="shared" si="300"/>
        <v>2591.1111111111104</v>
      </c>
      <c r="AF176" s="546">
        <f t="shared" si="301"/>
        <v>8.9150943396226423E-2</v>
      </c>
      <c r="AH176" s="179">
        <f t="shared" si="302"/>
        <v>0.91433035605299684</v>
      </c>
      <c r="AI176" s="179">
        <f t="shared" si="303"/>
        <v>1.4261949685534594</v>
      </c>
      <c r="AJ176" s="179">
        <f t="shared" si="304"/>
        <v>2.0342184952247848</v>
      </c>
      <c r="AL176" s="563">
        <f t="shared" si="305"/>
        <v>660</v>
      </c>
      <c r="AM176" s="472">
        <f t="shared" si="306"/>
        <v>159.83578281623076</v>
      </c>
      <c r="AO176">
        <f t="shared" si="307"/>
        <v>660</v>
      </c>
      <c r="AP176">
        <f t="shared" si="308"/>
        <v>159.83578281623076</v>
      </c>
      <c r="AR176" s="6">
        <f t="shared" si="233"/>
        <v>6.2564213243147053</v>
      </c>
      <c r="AS176" s="6">
        <f t="shared" si="230"/>
        <v>3.5654874213836489</v>
      </c>
      <c r="AT176" s="6">
        <f t="shared" si="231"/>
        <v>2.6909339029310564</v>
      </c>
      <c r="AU176" s="179">
        <f t="shared" si="232"/>
        <v>0.56989247311827951</v>
      </c>
      <c r="AW176" s="6">
        <f t="shared" si="254"/>
        <v>47.064433962264175</v>
      </c>
      <c r="AX176" s="6">
        <f t="shared" si="255"/>
        <v>35.654874213836493</v>
      </c>
      <c r="AY176" s="6">
        <f t="shared" si="256"/>
        <v>0.68519150306114851</v>
      </c>
      <c r="AZ176" s="6"/>
      <c r="BA176" s="179">
        <f t="shared" si="257"/>
        <v>0.62160533492421288</v>
      </c>
      <c r="BB176" s="179">
        <f t="shared" si="258"/>
        <v>1.6200486206671156</v>
      </c>
      <c r="BC176" s="179">
        <f t="shared" si="259"/>
        <v>0.78707362154077365</v>
      </c>
      <c r="BD176" s="179"/>
      <c r="BE176" s="546">
        <f t="shared" si="260"/>
        <v>0.13523761734218501</v>
      </c>
      <c r="BF176" s="546">
        <f t="shared" si="261"/>
        <v>4.7699999999999979E-2</v>
      </c>
      <c r="BG176" s="546">
        <f t="shared" si="262"/>
        <v>1.9979472852028847E-3</v>
      </c>
      <c r="BH176" s="546">
        <f t="shared" si="263"/>
        <v>6.2208885850991089E-3</v>
      </c>
      <c r="BI176">
        <f t="shared" si="264"/>
        <v>3.48E-3</v>
      </c>
      <c r="BK176" s="472">
        <f t="shared" si="265"/>
        <v>194.63645321248703</v>
      </c>
      <c r="BL176" s="179">
        <f t="shared" si="266"/>
        <v>0.26400000000000001</v>
      </c>
      <c r="BM176" s="179">
        <f t="shared" si="267"/>
        <v>0.13200000000000001</v>
      </c>
      <c r="BN176" s="546"/>
      <c r="BP176" s="472">
        <f t="shared" si="268"/>
        <v>396</v>
      </c>
      <c r="BQ176" s="546">
        <f t="shared" si="269"/>
        <v>7.7278638481248579E-2</v>
      </c>
      <c r="BR176" s="546">
        <f t="shared" si="270"/>
        <v>0.10498230133301696</v>
      </c>
      <c r="BS176" s="546">
        <f t="shared" si="271"/>
        <v>6.1948488572530908E-2</v>
      </c>
      <c r="BT176" s="546">
        <f t="shared" si="272"/>
        <v>3.9228552675452812E-2</v>
      </c>
      <c r="BU176" s="546"/>
      <c r="BV176" s="655">
        <f t="shared" si="309"/>
        <v>3.2511111111111116E-2</v>
      </c>
      <c r="BW176" s="472">
        <f t="shared" si="273"/>
        <v>315.94909217336038</v>
      </c>
      <c r="BX176" s="179">
        <f t="shared" si="274"/>
        <v>0.90658554538584746</v>
      </c>
      <c r="BY176" s="6">
        <f t="shared" si="275"/>
        <v>4.3890000000000002</v>
      </c>
      <c r="BZ176" s="179">
        <f t="shared" si="276"/>
        <v>0.82880353124013384</v>
      </c>
      <c r="CA176" s="6">
        <f t="shared" si="277"/>
        <v>82.880353124013382</v>
      </c>
      <c r="CB176">
        <f t="shared" si="278"/>
        <v>66</v>
      </c>
      <c r="CD176" s="581">
        <f t="shared" si="310"/>
        <v>-50</v>
      </c>
      <c r="CE176">
        <f t="shared" si="311"/>
        <v>-50</v>
      </c>
    </row>
    <row r="177" spans="5:83" x14ac:dyDescent="0.2">
      <c r="E177" s="176">
        <v>67</v>
      </c>
      <c r="F177" s="223">
        <f t="shared" si="312"/>
        <v>0.67</v>
      </c>
      <c r="G177" s="223">
        <f t="shared" si="279"/>
        <v>0.33500000000000002</v>
      </c>
      <c r="H177" s="223">
        <f t="shared" si="280"/>
        <v>3.35</v>
      </c>
      <c r="I177" s="223">
        <f t="shared" si="281"/>
        <v>1.1054999999999999</v>
      </c>
      <c r="J177" s="559">
        <f t="shared" si="282"/>
        <v>12</v>
      </c>
      <c r="K177" s="454">
        <f t="shared" si="283"/>
        <v>15.899999999999999</v>
      </c>
      <c r="L177" s="454">
        <f t="shared" si="284"/>
        <v>27.9</v>
      </c>
      <c r="M177" s="454"/>
      <c r="N177" s="223">
        <f t="shared" si="285"/>
        <v>0.56989247311827951</v>
      </c>
      <c r="O177" s="178">
        <f t="shared" si="286"/>
        <v>3.4707737084647103</v>
      </c>
      <c r="P177" s="178">
        <f t="shared" si="287"/>
        <v>1.5233225806451611</v>
      </c>
      <c r="Q177" s="223">
        <f t="shared" si="288"/>
        <v>0.69415474169294211</v>
      </c>
      <c r="R177" s="223">
        <f t="shared" si="289"/>
        <v>1.0517496086256699</v>
      </c>
      <c r="S177" s="223">
        <f t="shared" si="290"/>
        <v>5</v>
      </c>
      <c r="T177" s="223">
        <f t="shared" si="291"/>
        <v>1.4478039832285117</v>
      </c>
      <c r="U177" s="223">
        <f t="shared" si="292"/>
        <v>3.6195099580712795</v>
      </c>
      <c r="V177" s="223">
        <f t="shared" si="293"/>
        <v>2.7317056287330415</v>
      </c>
      <c r="W177" s="203">
        <f t="shared" si="294"/>
        <v>350</v>
      </c>
      <c r="X177" s="454">
        <f t="shared" si="295"/>
        <v>157.45017411748108</v>
      </c>
      <c r="Z177" s="223">
        <f t="shared" si="296"/>
        <v>0.65130568356374818</v>
      </c>
      <c r="AA177" s="179">
        <f t="shared" si="297"/>
        <v>1.2288786482334872</v>
      </c>
      <c r="AB177" s="179">
        <f t="shared" si="298"/>
        <v>0.31593775579129196</v>
      </c>
      <c r="AC177" s="179"/>
      <c r="AD177" s="179">
        <f t="shared" si="299"/>
        <v>0.5660377358490567</v>
      </c>
      <c r="AE177" s="563">
        <f t="shared" si="300"/>
        <v>2630.37037037037</v>
      </c>
      <c r="AF177" s="546">
        <f t="shared" si="301"/>
        <v>8.9150943396226423E-2</v>
      </c>
      <c r="AH177" s="179">
        <f t="shared" si="302"/>
        <v>0.92123106041137515</v>
      </c>
      <c r="AI177" s="179">
        <f t="shared" si="303"/>
        <v>1.4478039832285117</v>
      </c>
      <c r="AJ177" s="179">
        <f t="shared" si="304"/>
        <v>2.0502251727618606</v>
      </c>
      <c r="AL177" s="563">
        <f t="shared" si="305"/>
        <v>670</v>
      </c>
      <c r="AM177" s="472">
        <f t="shared" si="306"/>
        <v>157.45017411748108</v>
      </c>
      <c r="AO177">
        <f t="shared" si="307"/>
        <v>670</v>
      </c>
      <c r="AP177">
        <f t="shared" si="308"/>
        <v>157.45017411748108</v>
      </c>
      <c r="AR177" s="6">
        <f t="shared" si="233"/>
        <v>6.3512155868043196</v>
      </c>
      <c r="AS177" s="6">
        <f t="shared" si="230"/>
        <v>3.6195099580712795</v>
      </c>
      <c r="AT177" s="6">
        <f t="shared" si="231"/>
        <v>2.7317056287330401</v>
      </c>
      <c r="AU177" s="179">
        <f t="shared" si="232"/>
        <v>0.56989247311827962</v>
      </c>
      <c r="AW177" s="6">
        <f t="shared" si="254"/>
        <v>48.501433438155146</v>
      </c>
      <c r="AX177" s="6">
        <f t="shared" si="255"/>
        <v>36.743510180420564</v>
      </c>
      <c r="AY177" s="6">
        <f t="shared" si="256"/>
        <v>0.70611218026664224</v>
      </c>
      <c r="AZ177" s="6"/>
      <c r="BA177" s="179">
        <f t="shared" si="257"/>
        <v>0.63102359757457971</v>
      </c>
      <c r="BB177" s="179">
        <f t="shared" si="258"/>
        <v>1.6445948118893443</v>
      </c>
      <c r="BC177" s="179">
        <f t="shared" si="259"/>
        <v>0.79899897944290632</v>
      </c>
      <c r="BD177" s="179"/>
      <c r="BE177" s="546">
        <f t="shared" si="260"/>
        <v>0.13936677324358779</v>
      </c>
      <c r="BF177" s="546">
        <f t="shared" si="261"/>
        <v>4.7699999999999985E-2</v>
      </c>
      <c r="BG177" s="546">
        <f t="shared" si="262"/>
        <v>1.9681271764685135E-3</v>
      </c>
      <c r="BH177" s="546">
        <f t="shared" si="263"/>
        <v>6.1280395017394226E-3</v>
      </c>
      <c r="BI177">
        <f t="shared" si="264"/>
        <v>3.48E-3</v>
      </c>
      <c r="BK177" s="472">
        <f t="shared" si="265"/>
        <v>198.64293992179574</v>
      </c>
      <c r="BL177" s="179">
        <f t="shared" si="266"/>
        <v>0.26800000000000002</v>
      </c>
      <c r="BM177" s="179">
        <f t="shared" si="267"/>
        <v>0.13400000000000001</v>
      </c>
      <c r="BN177" s="546"/>
      <c r="BP177" s="472">
        <f t="shared" si="268"/>
        <v>402</v>
      </c>
      <c r="BQ177" s="546">
        <f t="shared" si="269"/>
        <v>7.9638156139193034E-2</v>
      </c>
      <c r="BR177" s="546">
        <f t="shared" si="270"/>
        <v>0.10818768381173392</v>
      </c>
      <c r="BS177" s="546">
        <f t="shared" si="271"/>
        <v>6.3839936915080595E-2</v>
      </c>
      <c r="BT177" s="546">
        <f t="shared" si="272"/>
        <v>3.9228552675452791E-2</v>
      </c>
      <c r="BU177" s="546"/>
      <c r="BV177" s="655">
        <f t="shared" si="309"/>
        <v>3.3003703703703709E-2</v>
      </c>
      <c r="BW177" s="472">
        <f t="shared" si="273"/>
        <v>323.89803324516402</v>
      </c>
      <c r="BX177" s="179">
        <f t="shared" si="274"/>
        <v>0.92454097316695982</v>
      </c>
      <c r="BY177" s="6">
        <f t="shared" si="275"/>
        <v>4.4554999999999998</v>
      </c>
      <c r="BZ177" s="179">
        <f t="shared" si="276"/>
        <v>0.82815354422426846</v>
      </c>
      <c r="CA177" s="6">
        <f t="shared" si="277"/>
        <v>82.81535442242685</v>
      </c>
      <c r="CB177">
        <f t="shared" si="278"/>
        <v>67</v>
      </c>
      <c r="CD177" s="581">
        <f t="shared" si="310"/>
        <v>-50</v>
      </c>
      <c r="CE177">
        <f t="shared" si="311"/>
        <v>-50</v>
      </c>
    </row>
    <row r="178" spans="5:83" x14ac:dyDescent="0.2">
      <c r="E178" s="176">
        <v>68</v>
      </c>
      <c r="F178" s="223">
        <f t="shared" si="312"/>
        <v>0.68</v>
      </c>
      <c r="G178" s="223">
        <f t="shared" si="279"/>
        <v>0.34</v>
      </c>
      <c r="H178" s="223">
        <f t="shared" si="280"/>
        <v>3.4000000000000004</v>
      </c>
      <c r="I178" s="223">
        <f t="shared" si="281"/>
        <v>1.1220000000000001</v>
      </c>
      <c r="J178" s="559">
        <f t="shared" si="282"/>
        <v>12</v>
      </c>
      <c r="K178" s="454">
        <f t="shared" si="283"/>
        <v>15.899999999999999</v>
      </c>
      <c r="L178" s="454">
        <f t="shared" si="284"/>
        <v>27.9</v>
      </c>
      <c r="M178" s="454"/>
      <c r="N178" s="223">
        <f t="shared" si="285"/>
        <v>0.56989247311827951</v>
      </c>
      <c r="O178" s="178">
        <f t="shared" si="286"/>
        <v>3.4707737084647103</v>
      </c>
      <c r="P178" s="178">
        <f t="shared" si="287"/>
        <v>1.5233225806451611</v>
      </c>
      <c r="Q178" s="223">
        <f t="shared" si="288"/>
        <v>0.69415474169294211</v>
      </c>
      <c r="R178" s="223">
        <f t="shared" si="289"/>
        <v>1.0517496086256699</v>
      </c>
      <c r="S178" s="223">
        <f t="shared" si="290"/>
        <v>5</v>
      </c>
      <c r="T178" s="223">
        <f t="shared" si="291"/>
        <v>1.4694129979035642</v>
      </c>
      <c r="U178" s="223">
        <f t="shared" si="292"/>
        <v>3.6735324947589105</v>
      </c>
      <c r="V178" s="223">
        <f t="shared" si="293"/>
        <v>2.772477354535027</v>
      </c>
      <c r="W178" s="203">
        <f t="shared" si="294"/>
        <v>350</v>
      </c>
      <c r="X178" s="454">
        <f t="shared" si="295"/>
        <v>155.1347303804593</v>
      </c>
      <c r="Z178" s="223">
        <f t="shared" si="296"/>
        <v>0.65130568356374818</v>
      </c>
      <c r="AA178" s="179">
        <f t="shared" si="297"/>
        <v>1.2288786482334872</v>
      </c>
      <c r="AB178" s="179">
        <f t="shared" si="298"/>
        <v>0.31593775579129196</v>
      </c>
      <c r="AC178" s="179"/>
      <c r="AD178" s="179">
        <f t="shared" si="299"/>
        <v>0.5660377358490567</v>
      </c>
      <c r="AE178" s="563">
        <f t="shared" si="300"/>
        <v>2669.6296296296291</v>
      </c>
      <c r="AF178" s="546">
        <f t="shared" si="301"/>
        <v>8.9150943396226423E-2</v>
      </c>
      <c r="AH178" s="179">
        <f t="shared" si="302"/>
        <v>0.92808045628239222</v>
      </c>
      <c r="AI178" s="179">
        <f t="shared" si="303"/>
        <v>1.4694129979035642</v>
      </c>
      <c r="AJ178" s="179">
        <f t="shared" si="304"/>
        <v>2.0662318502989363</v>
      </c>
      <c r="AL178" s="563">
        <f t="shared" si="305"/>
        <v>680</v>
      </c>
      <c r="AM178" s="472">
        <f t="shared" si="306"/>
        <v>155.1347303804593</v>
      </c>
      <c r="AO178">
        <f t="shared" si="307"/>
        <v>680</v>
      </c>
      <c r="AP178">
        <f t="shared" si="308"/>
        <v>155.1347303804593</v>
      </c>
      <c r="AR178" s="6">
        <f t="shared" si="233"/>
        <v>6.4460098492939375</v>
      </c>
      <c r="AS178" s="6">
        <f t="shared" si="230"/>
        <v>3.6735324947589105</v>
      </c>
      <c r="AT178" s="6">
        <f t="shared" si="231"/>
        <v>2.772477354535027</v>
      </c>
      <c r="AU178" s="179">
        <f t="shared" si="232"/>
        <v>0.56989247311827951</v>
      </c>
      <c r="AW178" s="6">
        <f t="shared" si="254"/>
        <v>49.960041928721189</v>
      </c>
      <c r="AX178" s="6">
        <f t="shared" si="255"/>
        <v>37.848516612667559</v>
      </c>
      <c r="AY178" s="6">
        <f t="shared" si="256"/>
        <v>0.72734745412184343</v>
      </c>
      <c r="AZ178" s="6"/>
      <c r="BA178" s="179">
        <f t="shared" si="257"/>
        <v>0.64044186022494654</v>
      </c>
      <c r="BB178" s="179">
        <f t="shared" si="258"/>
        <v>1.6691410031115734</v>
      </c>
      <c r="BC178" s="179">
        <f t="shared" si="259"/>
        <v>0.81092433734503944</v>
      </c>
      <c r="BD178" s="179"/>
      <c r="BE178" s="546">
        <f t="shared" si="260"/>
        <v>0.14355802171493648</v>
      </c>
      <c r="BF178" s="546">
        <f t="shared" si="261"/>
        <v>4.7699999999999992E-2</v>
      </c>
      <c r="BG178" s="546">
        <f t="shared" si="262"/>
        <v>1.9391841297557414E-3</v>
      </c>
      <c r="BH178" s="546">
        <f t="shared" si="263"/>
        <v>6.0379212737726668E-3</v>
      </c>
      <c r="BI178">
        <f t="shared" si="264"/>
        <v>3.48E-3</v>
      </c>
      <c r="BK178" s="472">
        <f t="shared" si="265"/>
        <v>202.71512711846489</v>
      </c>
      <c r="BL178" s="179">
        <f t="shared" si="266"/>
        <v>0.27200000000000002</v>
      </c>
      <c r="BM178" s="179">
        <f t="shared" si="267"/>
        <v>0.13600000000000001</v>
      </c>
      <c r="BN178" s="546"/>
      <c r="BP178" s="472">
        <f t="shared" si="268"/>
        <v>408.00000000000006</v>
      </c>
      <c r="BQ178" s="546">
        <f t="shared" si="269"/>
        <v>8.2033155265678004E-2</v>
      </c>
      <c r="BR178" s="546">
        <f t="shared" si="270"/>
        <v>0.11144126753073237</v>
      </c>
      <c r="BS178" s="546">
        <f t="shared" si="271"/>
        <v>6.5759828089849134E-2</v>
      </c>
      <c r="BT178" s="546">
        <f t="shared" si="272"/>
        <v>3.9228552675452812E-2</v>
      </c>
      <c r="BU178" s="546"/>
      <c r="BV178" s="655">
        <f t="shared" si="309"/>
        <v>3.3496296296296309E-2</v>
      </c>
      <c r="BW178" s="472">
        <f t="shared" si="273"/>
        <v>331.95909985800864</v>
      </c>
      <c r="BX178" s="179">
        <f t="shared" si="274"/>
        <v>0.94267422697647363</v>
      </c>
      <c r="BY178" s="6">
        <f t="shared" si="275"/>
        <v>4.5220000000000002</v>
      </c>
      <c r="BZ178" s="179">
        <f t="shared" si="276"/>
        <v>0.82749672023943477</v>
      </c>
      <c r="CA178" s="6">
        <f t="shared" si="277"/>
        <v>82.749672023943475</v>
      </c>
      <c r="CB178">
        <f t="shared" si="278"/>
        <v>68</v>
      </c>
      <c r="CD178" s="581">
        <f t="shared" si="310"/>
        <v>-50</v>
      </c>
      <c r="CE178">
        <f t="shared" si="311"/>
        <v>-50</v>
      </c>
    </row>
    <row r="179" spans="5:83" x14ac:dyDescent="0.2">
      <c r="E179" s="176">
        <v>69</v>
      </c>
      <c r="F179" s="223">
        <f t="shared" si="312"/>
        <v>0.69</v>
      </c>
      <c r="G179" s="223">
        <f t="shared" si="279"/>
        <v>0.34499999999999997</v>
      </c>
      <c r="H179" s="223">
        <f t="shared" si="280"/>
        <v>3.4499999999999997</v>
      </c>
      <c r="I179" s="223">
        <f t="shared" si="281"/>
        <v>1.1384999999999998</v>
      </c>
      <c r="J179" s="559">
        <f t="shared" si="282"/>
        <v>12</v>
      </c>
      <c r="K179" s="454">
        <f t="shared" si="283"/>
        <v>15.899999999999999</v>
      </c>
      <c r="L179" s="454">
        <f t="shared" si="284"/>
        <v>27.9</v>
      </c>
      <c r="M179" s="454"/>
      <c r="N179" s="223">
        <f t="shared" si="285"/>
        <v>0.56989247311827951</v>
      </c>
      <c r="O179" s="178">
        <f t="shared" si="286"/>
        <v>3.4707737084647103</v>
      </c>
      <c r="P179" s="178">
        <f t="shared" si="287"/>
        <v>1.5233225806451611</v>
      </c>
      <c r="Q179" s="223">
        <f t="shared" si="288"/>
        <v>0.69415474169294211</v>
      </c>
      <c r="R179" s="223">
        <f t="shared" si="289"/>
        <v>1.0517496086256699</v>
      </c>
      <c r="S179" s="223">
        <f t="shared" si="290"/>
        <v>5</v>
      </c>
      <c r="T179" s="223">
        <f t="shared" si="291"/>
        <v>1.4910220125786164</v>
      </c>
      <c r="U179" s="223">
        <f t="shared" si="292"/>
        <v>3.7275550314465415</v>
      </c>
      <c r="V179" s="223">
        <f t="shared" si="293"/>
        <v>2.8132490803370125</v>
      </c>
      <c r="W179" s="203">
        <f t="shared" si="294"/>
        <v>350</v>
      </c>
      <c r="X179" s="454">
        <f t="shared" si="295"/>
        <v>152.88640095465553</v>
      </c>
      <c r="Z179" s="223">
        <f t="shared" si="296"/>
        <v>0.65130568356374818</v>
      </c>
      <c r="AA179" s="179">
        <f t="shared" si="297"/>
        <v>1.2288786482334872</v>
      </c>
      <c r="AB179" s="179">
        <f t="shared" si="298"/>
        <v>0.31593775579129196</v>
      </c>
      <c r="AC179" s="179"/>
      <c r="AD179" s="179">
        <f t="shared" si="299"/>
        <v>0.5660377358490567</v>
      </c>
      <c r="AE179" s="563">
        <f t="shared" si="300"/>
        <v>2708.8888888888882</v>
      </c>
      <c r="AF179" s="546">
        <f t="shared" si="301"/>
        <v>8.9150943396226423E-2</v>
      </c>
      <c r="AH179" s="179">
        <f t="shared" si="302"/>
        <v>0.93487967140161943</v>
      </c>
      <c r="AI179" s="179">
        <f t="shared" si="303"/>
        <v>1.4910220125786164</v>
      </c>
      <c r="AJ179" s="179">
        <f t="shared" si="304"/>
        <v>2.082238527836012</v>
      </c>
      <c r="AL179" s="563">
        <f t="shared" si="305"/>
        <v>690</v>
      </c>
      <c r="AM179" s="472">
        <f t="shared" si="306"/>
        <v>152.88640095465553</v>
      </c>
      <c r="AO179">
        <f t="shared" si="307"/>
        <v>690</v>
      </c>
      <c r="AP179">
        <f t="shared" si="308"/>
        <v>152.88640095465553</v>
      </c>
      <c r="AR179" s="6">
        <f t="shared" si="233"/>
        <v>6.5408041117835545</v>
      </c>
      <c r="AS179" s="6">
        <f t="shared" ref="AS179:AS242" si="313">L*AI179/J179*1000000</f>
        <v>3.7275550314465415</v>
      </c>
      <c r="AT179" s="6">
        <f t="shared" ref="AT179:AT242" si="314">AR179-AS179</f>
        <v>2.8132490803370129</v>
      </c>
      <c r="AU179" s="179">
        <f t="shared" ref="AU179:AU242" si="315">AS179/AR179</f>
        <v>0.56989247311827951</v>
      </c>
      <c r="AW179" s="6">
        <f t="shared" si="254"/>
        <v>51.440259433962268</v>
      </c>
      <c r="AX179" s="6">
        <f t="shared" si="255"/>
        <v>38.969893510577478</v>
      </c>
      <c r="AY179" s="6">
        <f t="shared" si="256"/>
        <v>0.74889732462675096</v>
      </c>
      <c r="AZ179" s="6"/>
      <c r="BA179" s="179">
        <f t="shared" si="257"/>
        <v>0.64986012287531336</v>
      </c>
      <c r="BB179" s="179">
        <f t="shared" si="258"/>
        <v>1.6936871943338023</v>
      </c>
      <c r="BC179" s="179">
        <f t="shared" si="259"/>
        <v>0.82284969524717244</v>
      </c>
      <c r="BD179" s="179"/>
      <c r="BE179" s="546">
        <f t="shared" si="260"/>
        <v>0.14781136275623108</v>
      </c>
      <c r="BF179" s="546">
        <f t="shared" si="261"/>
        <v>4.7699999999999985E-2</v>
      </c>
      <c r="BG179" s="546">
        <f t="shared" si="262"/>
        <v>1.9110800119331941E-3</v>
      </c>
      <c r="BH179" s="546">
        <f t="shared" si="263"/>
        <v>5.9504151683556702E-3</v>
      </c>
      <c r="BI179">
        <f t="shared" si="264"/>
        <v>3.48E-3</v>
      </c>
      <c r="BK179" s="472">
        <f t="shared" si="265"/>
        <v>206.85285793651994</v>
      </c>
      <c r="BL179" s="179">
        <f t="shared" si="266"/>
        <v>0.27599999999999997</v>
      </c>
      <c r="BM179" s="179">
        <f t="shared" si="267"/>
        <v>0.13799999999999998</v>
      </c>
      <c r="BN179" s="546"/>
      <c r="BP179" s="472">
        <f t="shared" si="268"/>
        <v>413.99999999999994</v>
      </c>
      <c r="BQ179" s="546">
        <f t="shared" si="269"/>
        <v>8.446363586070349E-2</v>
      </c>
      <c r="BR179" s="546">
        <f t="shared" si="270"/>
        <v>0.11474305249001228</v>
      </c>
      <c r="BS179" s="546">
        <f t="shared" si="271"/>
        <v>6.7708162096836458E-2</v>
      </c>
      <c r="BT179" s="546">
        <f t="shared" si="272"/>
        <v>3.9228552675452819E-2</v>
      </c>
      <c r="BU179" s="546"/>
      <c r="BV179" s="655">
        <f t="shared" si="309"/>
        <v>3.3988888888888895E-2</v>
      </c>
      <c r="BW179" s="472">
        <f t="shared" si="273"/>
        <v>340.13229201189392</v>
      </c>
      <c r="BX179" s="179">
        <f t="shared" si="274"/>
        <v>0.96098514994841377</v>
      </c>
      <c r="BY179" s="6">
        <f t="shared" si="275"/>
        <v>4.5884999999999998</v>
      </c>
      <c r="BZ179" s="179">
        <f t="shared" si="276"/>
        <v>0.82683345860339008</v>
      </c>
      <c r="CA179" s="6">
        <f t="shared" si="277"/>
        <v>82.683345860339003</v>
      </c>
      <c r="CB179">
        <f t="shared" si="278"/>
        <v>69</v>
      </c>
      <c r="CD179" s="581">
        <f t="shared" si="310"/>
        <v>-50</v>
      </c>
      <c r="CE179">
        <f t="shared" si="311"/>
        <v>-50</v>
      </c>
    </row>
    <row r="180" spans="5:83" x14ac:dyDescent="0.2">
      <c r="E180" s="176">
        <v>70</v>
      </c>
      <c r="F180" s="223">
        <f t="shared" si="312"/>
        <v>0.7</v>
      </c>
      <c r="G180" s="223">
        <f t="shared" si="279"/>
        <v>0.35</v>
      </c>
      <c r="H180" s="223">
        <f t="shared" si="280"/>
        <v>3.5</v>
      </c>
      <c r="I180" s="223">
        <f t="shared" si="281"/>
        <v>1.1549999999999998</v>
      </c>
      <c r="J180" s="559">
        <f t="shared" si="282"/>
        <v>12</v>
      </c>
      <c r="K180" s="454">
        <f t="shared" si="283"/>
        <v>15.774744464848759</v>
      </c>
      <c r="L180" s="454">
        <f t="shared" si="284"/>
        <v>27.9</v>
      </c>
      <c r="M180" s="454"/>
      <c r="N180" s="223">
        <f t="shared" si="285"/>
        <v>0.56989247311827951</v>
      </c>
      <c r="O180" s="178">
        <f t="shared" si="286"/>
        <v>3.4707737084647103</v>
      </c>
      <c r="P180" s="178">
        <f t="shared" si="287"/>
        <v>1.5233225806451611</v>
      </c>
      <c r="Q180" s="223">
        <f t="shared" si="288"/>
        <v>0.69415474169294211</v>
      </c>
      <c r="R180" s="223">
        <f t="shared" si="289"/>
        <v>1.0517496086256699</v>
      </c>
      <c r="S180" s="223">
        <f t="shared" si="290"/>
        <v>4.9582481549495867</v>
      </c>
      <c r="T180" s="223">
        <f t="shared" si="291"/>
        <v>1.5</v>
      </c>
      <c r="U180" s="223">
        <f t="shared" si="292"/>
        <v>3.75</v>
      </c>
      <c r="V180" s="223">
        <f t="shared" si="293"/>
        <v>2.8526611065094958</v>
      </c>
      <c r="W180" s="203">
        <f t="shared" si="294"/>
        <v>350</v>
      </c>
      <c r="X180" s="454">
        <f t="shared" si="295"/>
        <v>151.45408553743735</v>
      </c>
      <c r="Z180" s="223">
        <f t="shared" si="296"/>
        <v>0.64908893801758882</v>
      </c>
      <c r="AA180" s="179">
        <f t="shared" si="297"/>
        <v>1.2344205120988856</v>
      </c>
      <c r="AB180" s="179">
        <f t="shared" si="298"/>
        <v>0.31628238128897118</v>
      </c>
      <c r="AC180" s="179"/>
      <c r="AD180" s="179">
        <f t="shared" si="299"/>
        <v>0.57053222130189918</v>
      </c>
      <c r="AE180" s="563">
        <f t="shared" si="300"/>
        <v>2726.4990433071926</v>
      </c>
      <c r="AF180" s="546">
        <f t="shared" si="301"/>
        <v>8.9858824855049105E-2</v>
      </c>
      <c r="AH180" s="179">
        <f t="shared" si="302"/>
        <v>0.94162979278836889</v>
      </c>
      <c r="AI180" s="179">
        <f t="shared" si="303"/>
        <v>1.5</v>
      </c>
      <c r="AJ180" s="179">
        <f t="shared" si="304"/>
        <v>2.0888888888888886</v>
      </c>
      <c r="AL180" s="563">
        <f t="shared" si="305"/>
        <v>700</v>
      </c>
      <c r="AM180" s="472">
        <f t="shared" si="306"/>
        <v>151.45408553743735</v>
      </c>
      <c r="AO180" t="str">
        <f t="shared" si="307"/>
        <v/>
      </c>
      <c r="AP180" t="str">
        <f t="shared" si="308"/>
        <v/>
      </c>
      <c r="AR180" s="6">
        <f t="shared" si="233"/>
        <v>6.6026611065094967</v>
      </c>
      <c r="AS180" s="6">
        <f t="shared" si="313"/>
        <v>3.75</v>
      </c>
      <c r="AT180" s="6">
        <f t="shared" si="314"/>
        <v>2.8526611065094967</v>
      </c>
      <c r="AU180" s="179">
        <f t="shared" si="315"/>
        <v>0.56795282076539</v>
      </c>
      <c r="AW180" s="6">
        <f t="shared" si="254"/>
        <v>52.5</v>
      </c>
      <c r="AX180" s="6">
        <f t="shared" si="255"/>
        <v>39.772727272727273</v>
      </c>
      <c r="AY180" s="6">
        <f t="shared" si="256"/>
        <v>0.77039458894932378</v>
      </c>
      <c r="AZ180" s="6"/>
      <c r="BA180" s="179">
        <f t="shared" si="257"/>
        <v>0.65265964757601069</v>
      </c>
      <c r="BB180" s="179">
        <f t="shared" si="258"/>
        <v>1.7077231800949524</v>
      </c>
      <c r="BC180" s="179">
        <f t="shared" si="259"/>
        <v>0.82966884499613103</v>
      </c>
      <c r="BD180" s="179"/>
      <c r="BE180" s="546">
        <f t="shared" si="260"/>
        <v>0.14908761545091487</v>
      </c>
      <c r="BF180" s="546">
        <f t="shared" si="261"/>
        <v>4.7537651098063134E-2</v>
      </c>
      <c r="BG180" s="546">
        <f t="shared" si="262"/>
        <v>1.8931760692179667E-3</v>
      </c>
      <c r="BH180" s="546">
        <f t="shared" si="263"/>
        <v>5.8946687361598306E-3</v>
      </c>
      <c r="BI180">
        <f t="shared" si="264"/>
        <v>3.48E-3</v>
      </c>
      <c r="BK180" s="472">
        <f t="shared" si="265"/>
        <v>207.8931113543558</v>
      </c>
      <c r="BL180" s="179">
        <f t="shared" si="266"/>
        <v>0.27999999999999997</v>
      </c>
      <c r="BM180" s="179">
        <f t="shared" si="267"/>
        <v>0.13999999999999999</v>
      </c>
      <c r="BN180" s="546"/>
      <c r="BP180" s="472">
        <f t="shared" si="268"/>
        <v>419.99999999999994</v>
      </c>
      <c r="BQ180" s="546">
        <f t="shared" si="269"/>
        <v>8.51929231148085E-2</v>
      </c>
      <c r="BR180" s="546">
        <f t="shared" si="270"/>
        <v>0.1166527383933447</v>
      </c>
      <c r="BS180" s="546">
        <f t="shared" si="271"/>
        <v>6.8835039235721415E-2</v>
      </c>
      <c r="BT180" s="546">
        <f t="shared" si="272"/>
        <v>3.8895614281991356E-2</v>
      </c>
      <c r="BU180" s="546"/>
      <c r="BV180" s="655">
        <f t="shared" si="309"/>
        <v>3.4077169245923404E-2</v>
      </c>
      <c r="BW180" s="472">
        <f t="shared" si="273"/>
        <v>343.65348427178935</v>
      </c>
      <c r="BX180" s="179">
        <f t="shared" si="274"/>
        <v>0.9715465956261452</v>
      </c>
      <c r="BY180" s="6">
        <f t="shared" si="275"/>
        <v>4.6549999999999994</v>
      </c>
      <c r="BZ180" s="179">
        <f t="shared" si="276"/>
        <v>0.82732808142362368</v>
      </c>
      <c r="CA180" s="6">
        <f t="shared" si="277"/>
        <v>82.732808142362373</v>
      </c>
      <c r="CB180">
        <f t="shared" si="278"/>
        <v>70</v>
      </c>
      <c r="CD180" s="581">
        <f t="shared" si="310"/>
        <v>-50</v>
      </c>
      <c r="CE180">
        <f t="shared" si="311"/>
        <v>-50</v>
      </c>
    </row>
    <row r="181" spans="5:83" x14ac:dyDescent="0.2">
      <c r="E181" s="176">
        <v>71</v>
      </c>
      <c r="F181" s="223">
        <f t="shared" si="312"/>
        <v>0.71</v>
      </c>
      <c r="G181" s="223">
        <f t="shared" si="279"/>
        <v>0.35499999999999998</v>
      </c>
      <c r="H181" s="223">
        <f t="shared" si="280"/>
        <v>3.55</v>
      </c>
      <c r="I181" s="223">
        <f t="shared" si="281"/>
        <v>1.1715</v>
      </c>
      <c r="J181" s="559">
        <f t="shared" si="282"/>
        <v>12</v>
      </c>
      <c r="K181" s="454">
        <f t="shared" si="283"/>
        <v>15.565241021681874</v>
      </c>
      <c r="L181" s="454">
        <f t="shared" si="284"/>
        <v>27.9</v>
      </c>
      <c r="M181" s="454"/>
      <c r="N181" s="223">
        <f t="shared" si="285"/>
        <v>0.56989247311827951</v>
      </c>
      <c r="O181" s="178">
        <f t="shared" si="286"/>
        <v>3.4707737084647103</v>
      </c>
      <c r="P181" s="178">
        <f t="shared" si="287"/>
        <v>1.5233225806451611</v>
      </c>
      <c r="Q181" s="223">
        <f t="shared" si="288"/>
        <v>0.69415474169294211</v>
      </c>
      <c r="R181" s="223">
        <f t="shared" si="289"/>
        <v>1.0517496086256699</v>
      </c>
      <c r="S181" s="223">
        <f t="shared" si="290"/>
        <v>4.8884136738939583</v>
      </c>
      <c r="T181" s="223">
        <f t="shared" si="291"/>
        <v>1.5</v>
      </c>
      <c r="U181" s="223">
        <f t="shared" si="292"/>
        <v>3.75</v>
      </c>
      <c r="V181" s="223">
        <f t="shared" si="293"/>
        <v>2.8910570634477466</v>
      </c>
      <c r="W181" s="203">
        <f t="shared" si="294"/>
        <v>350</v>
      </c>
      <c r="X181" s="454">
        <f t="shared" si="295"/>
        <v>150.57843810799054</v>
      </c>
      <c r="Z181" s="223">
        <f t="shared" si="296"/>
        <v>0.64533616331995958</v>
      </c>
      <c r="AA181" s="179">
        <f t="shared" si="297"/>
        <v>1.2438024488429584</v>
      </c>
      <c r="AB181" s="179">
        <f t="shared" si="298"/>
        <v>0.31684369747274405</v>
      </c>
      <c r="AC181" s="179"/>
      <c r="AD181" s="179">
        <f t="shared" si="299"/>
        <v>0.57821141268954934</v>
      </c>
      <c r="AE181" s="563">
        <f t="shared" si="300"/>
        <v>2728.7212655294152</v>
      </c>
      <c r="AF181" s="546">
        <f t="shared" si="301"/>
        <v>9.1068297498603998E-2</v>
      </c>
      <c r="AH181" s="179">
        <f t="shared" si="302"/>
        <v>0.94833186877449882</v>
      </c>
      <c r="AI181" s="179">
        <f t="shared" si="303"/>
        <v>1.5</v>
      </c>
      <c r="AJ181" s="179">
        <f t="shared" si="304"/>
        <v>2.0888888888888886</v>
      </c>
      <c r="AL181" s="563">
        <f t="shared" si="305"/>
        <v>710</v>
      </c>
      <c r="AM181" s="472">
        <f t="shared" si="306"/>
        <v>150.57843810799054</v>
      </c>
      <c r="AO181" t="str">
        <f t="shared" si="307"/>
        <v/>
      </c>
      <c r="AP181" t="str">
        <f t="shared" si="308"/>
        <v/>
      </c>
      <c r="AR181" s="6">
        <f t="shared" si="233"/>
        <v>6.6410570634477475</v>
      </c>
      <c r="AS181" s="6">
        <f t="shared" si="313"/>
        <v>3.75</v>
      </c>
      <c r="AT181" s="6">
        <f t="shared" si="314"/>
        <v>2.8910570634477475</v>
      </c>
      <c r="AU181" s="179">
        <f t="shared" si="315"/>
        <v>0.56466914290496451</v>
      </c>
      <c r="AW181" s="6">
        <f t="shared" si="254"/>
        <v>53.249999999999993</v>
      </c>
      <c r="AX181" s="6">
        <f t="shared" si="255"/>
        <v>40.340909090909086</v>
      </c>
      <c r="AY181" s="6">
        <f t="shared" si="256"/>
        <v>0.7919176369783566</v>
      </c>
      <c r="AZ181" s="6"/>
      <c r="BA181" s="179">
        <f t="shared" si="257"/>
        <v>0.65077020305075695</v>
      </c>
      <c r="BB181" s="179">
        <f t="shared" si="258"/>
        <v>1.7142004799297805</v>
      </c>
      <c r="BC181" s="179">
        <f t="shared" si="259"/>
        <v>0.83281573316588497</v>
      </c>
      <c r="BD181" s="179"/>
      <c r="BE181" s="546">
        <f t="shared" si="260"/>
        <v>0.1482256500125532</v>
      </c>
      <c r="BF181" s="546">
        <f t="shared" si="261"/>
        <v>4.7262807261145519E-2</v>
      </c>
      <c r="BG181" s="546">
        <f t="shared" si="262"/>
        <v>1.8822304763498816E-3</v>
      </c>
      <c r="BH181" s="546">
        <f t="shared" si="263"/>
        <v>5.8605881003820455E-3</v>
      </c>
      <c r="BI181">
        <f t="shared" si="264"/>
        <v>3.48E-3</v>
      </c>
      <c r="BK181" s="472">
        <f t="shared" si="265"/>
        <v>206.71127585043064</v>
      </c>
      <c r="BL181" s="179">
        <f t="shared" si="266"/>
        <v>0.28399999999999997</v>
      </c>
      <c r="BM181" s="179">
        <f t="shared" si="267"/>
        <v>0.14199999999999999</v>
      </c>
      <c r="BN181" s="546"/>
      <c r="BP181" s="472">
        <f t="shared" si="268"/>
        <v>425.99999999999994</v>
      </c>
      <c r="BQ181" s="546">
        <f t="shared" si="269"/>
        <v>8.4700371435744687E-2</v>
      </c>
      <c r="BR181" s="546">
        <f t="shared" si="270"/>
        <v>0.11753933141565959</v>
      </c>
      <c r="BS181" s="546">
        <f t="shared" si="271"/>
        <v>6.9358204540863055E-2</v>
      </c>
      <c r="BT181" s="546">
        <f t="shared" si="272"/>
        <v>3.8335852211011157E-2</v>
      </c>
      <c r="BU181" s="546"/>
      <c r="BV181" s="655">
        <f t="shared" si="309"/>
        <v>3.3880148574297872E-2</v>
      </c>
      <c r="BW181" s="472">
        <f t="shared" si="273"/>
        <v>343.81390817757637</v>
      </c>
      <c r="BX181" s="179">
        <f t="shared" si="274"/>
        <v>0.97652518402800714</v>
      </c>
      <c r="BY181" s="6">
        <f t="shared" si="275"/>
        <v>4.7214999999999998</v>
      </c>
      <c r="BZ181" s="179">
        <f t="shared" si="276"/>
        <v>0.82862041628645655</v>
      </c>
      <c r="CA181" s="6">
        <f t="shared" si="277"/>
        <v>82.862041628645656</v>
      </c>
      <c r="CB181">
        <f t="shared" si="278"/>
        <v>71</v>
      </c>
      <c r="CD181" s="581">
        <f t="shared" si="310"/>
        <v>-50</v>
      </c>
      <c r="CE181">
        <f t="shared" si="311"/>
        <v>-50</v>
      </c>
    </row>
    <row r="182" spans="5:83" x14ac:dyDescent="0.2">
      <c r="E182" s="176">
        <v>72</v>
      </c>
      <c r="F182" s="223">
        <f t="shared" si="312"/>
        <v>0.72</v>
      </c>
      <c r="G182" s="223">
        <f t="shared" si="279"/>
        <v>0.36</v>
      </c>
      <c r="H182" s="223">
        <f t="shared" si="280"/>
        <v>3.5999999999999996</v>
      </c>
      <c r="I182" s="223">
        <f t="shared" si="281"/>
        <v>1.1879999999999999</v>
      </c>
      <c r="J182" s="559">
        <f t="shared" si="282"/>
        <v>12</v>
      </c>
      <c r="K182" s="454">
        <f t="shared" si="283"/>
        <v>15.36155711860296</v>
      </c>
      <c r="L182" s="454">
        <f t="shared" si="284"/>
        <v>27.9</v>
      </c>
      <c r="M182" s="454"/>
      <c r="N182" s="223">
        <f t="shared" si="285"/>
        <v>0.56989247311827951</v>
      </c>
      <c r="O182" s="178">
        <f t="shared" si="286"/>
        <v>3.4707737084647103</v>
      </c>
      <c r="P182" s="178">
        <f t="shared" si="287"/>
        <v>1.5233225806451611</v>
      </c>
      <c r="Q182" s="223">
        <f t="shared" si="288"/>
        <v>0.69415474169294211</v>
      </c>
      <c r="R182" s="223">
        <f t="shared" si="289"/>
        <v>1.0517496086256699</v>
      </c>
      <c r="S182" s="223">
        <f t="shared" si="290"/>
        <v>4.8205190395343198</v>
      </c>
      <c r="T182" s="223">
        <f t="shared" si="291"/>
        <v>1.5</v>
      </c>
      <c r="U182" s="223">
        <f t="shared" si="292"/>
        <v>3.75</v>
      </c>
      <c r="V182" s="223">
        <f t="shared" si="293"/>
        <v>2.9293905333011243</v>
      </c>
      <c r="W182" s="203">
        <f t="shared" si="294"/>
        <v>350</v>
      </c>
      <c r="X182" s="454">
        <f t="shared" si="295"/>
        <v>149.71425836149973</v>
      </c>
      <c r="Z182" s="223">
        <f t="shared" si="296"/>
        <v>0.64163253583499891</v>
      </c>
      <c r="AA182" s="179">
        <f t="shared" si="297"/>
        <v>1.2530615175553599</v>
      </c>
      <c r="AB182" s="179">
        <f t="shared" si="298"/>
        <v>0.31737041015774903</v>
      </c>
      <c r="AC182" s="179"/>
      <c r="AD182" s="179">
        <f t="shared" si="299"/>
        <v>0.58587810666022477</v>
      </c>
      <c r="AE182" s="563">
        <f t="shared" si="300"/>
        <v>2730.9434877516378</v>
      </c>
      <c r="AF182" s="546">
        <f t="shared" si="301"/>
        <v>9.2275801798985396E-2</v>
      </c>
      <c r="AH182" s="179">
        <f t="shared" si="302"/>
        <v>0.95498691090506571</v>
      </c>
      <c r="AI182" s="179">
        <f t="shared" si="303"/>
        <v>1.5</v>
      </c>
      <c r="AJ182" s="179">
        <f t="shared" si="304"/>
        <v>2.0888888888888886</v>
      </c>
      <c r="AL182" s="563">
        <f t="shared" si="305"/>
        <v>720</v>
      </c>
      <c r="AM182" s="472">
        <f t="shared" si="306"/>
        <v>149.71425836149973</v>
      </c>
      <c r="AO182" t="str">
        <f t="shared" si="307"/>
        <v/>
      </c>
      <c r="AP182" t="str">
        <f t="shared" si="308"/>
        <v/>
      </c>
      <c r="AR182" s="6">
        <f t="shared" si="233"/>
        <v>6.6793905333011239</v>
      </c>
      <c r="AS182" s="6">
        <f t="shared" si="313"/>
        <v>3.75</v>
      </c>
      <c r="AT182" s="6">
        <f t="shared" si="314"/>
        <v>2.9293905333011239</v>
      </c>
      <c r="AU182" s="179">
        <f t="shared" si="315"/>
        <v>0.56142846885562403</v>
      </c>
      <c r="AW182" s="6">
        <f t="shared" si="254"/>
        <v>53.999999999999993</v>
      </c>
      <c r="AX182" s="6">
        <f t="shared" si="255"/>
        <v>40.909090909090899</v>
      </c>
      <c r="AY182" s="6">
        <f t="shared" si="256"/>
        <v>0.81371959258364535</v>
      </c>
      <c r="AZ182" s="6"/>
      <c r="BA182" s="179">
        <f t="shared" si="257"/>
        <v>0.64890010913985674</v>
      </c>
      <c r="BB182" s="179">
        <f t="shared" si="258"/>
        <v>1.7205690440155368</v>
      </c>
      <c r="BC182" s="179">
        <f t="shared" si="259"/>
        <v>0.83590979388421482</v>
      </c>
      <c r="BD182" s="179"/>
      <c r="BE182" s="546">
        <f t="shared" si="260"/>
        <v>0.14737497307460129</v>
      </c>
      <c r="BF182" s="546">
        <f t="shared" si="261"/>
        <v>4.699156284321572E-2</v>
      </c>
      <c r="BG182" s="546">
        <f t="shared" si="262"/>
        <v>1.8714282295187465E-3</v>
      </c>
      <c r="BH182" s="546">
        <f t="shared" si="263"/>
        <v>5.8269537925587506E-3</v>
      </c>
      <c r="BI182">
        <f t="shared" si="264"/>
        <v>3.48E-3</v>
      </c>
      <c r="BK182" s="472">
        <f t="shared" si="265"/>
        <v>205.5449179398945</v>
      </c>
      <c r="BL182" s="179">
        <f t="shared" si="266"/>
        <v>0.28799999999999998</v>
      </c>
      <c r="BM182" s="179">
        <f t="shared" si="267"/>
        <v>0.14399999999999999</v>
      </c>
      <c r="BN182" s="546"/>
      <c r="BP182" s="472">
        <f t="shared" si="268"/>
        <v>431.99999999999994</v>
      </c>
      <c r="BQ182" s="546">
        <f t="shared" si="269"/>
        <v>8.421427032834361E-2</v>
      </c>
      <c r="BR182" s="546">
        <f t="shared" si="270"/>
        <v>0.11841431340898152</v>
      </c>
      <c r="BS182" s="546">
        <f t="shared" si="271"/>
        <v>6.9874518351155046E-2</v>
      </c>
      <c r="BT182" s="546">
        <f t="shared" si="272"/>
        <v>3.7788187377619888E-2</v>
      </c>
      <c r="BU182" s="546"/>
      <c r="BV182" s="655">
        <f t="shared" si="309"/>
        <v>3.3685708131337443E-2</v>
      </c>
      <c r="BW182" s="472">
        <f t="shared" si="273"/>
        <v>343.9769975974375</v>
      </c>
      <c r="BX182" s="179">
        <f t="shared" si="274"/>
        <v>0.98152191553733203</v>
      </c>
      <c r="BY182" s="6">
        <f t="shared" si="275"/>
        <v>4.7879999999999994</v>
      </c>
      <c r="BZ182" s="179">
        <f t="shared" si="276"/>
        <v>0.82987811990208549</v>
      </c>
      <c r="CA182" s="6">
        <f t="shared" si="277"/>
        <v>82.987811990208542</v>
      </c>
      <c r="CB182">
        <f t="shared" si="278"/>
        <v>72</v>
      </c>
      <c r="CD182" s="581">
        <f t="shared" si="310"/>
        <v>-50</v>
      </c>
      <c r="CE182">
        <f t="shared" si="311"/>
        <v>-50</v>
      </c>
    </row>
    <row r="183" spans="5:83" x14ac:dyDescent="0.2">
      <c r="E183" s="176">
        <v>73</v>
      </c>
      <c r="F183" s="223">
        <f t="shared" si="312"/>
        <v>0.73</v>
      </c>
      <c r="G183" s="223">
        <f t="shared" si="279"/>
        <v>0.36499999999999999</v>
      </c>
      <c r="H183" s="223">
        <f t="shared" si="280"/>
        <v>3.65</v>
      </c>
      <c r="I183" s="223">
        <f t="shared" si="281"/>
        <v>1.2044999999999999</v>
      </c>
      <c r="J183" s="559">
        <f t="shared" si="282"/>
        <v>12</v>
      </c>
      <c r="K183" s="454">
        <f t="shared" si="283"/>
        <v>15.163453596430317</v>
      </c>
      <c r="L183" s="454">
        <f t="shared" si="284"/>
        <v>27.9</v>
      </c>
      <c r="M183" s="454"/>
      <c r="N183" s="223">
        <f t="shared" si="285"/>
        <v>0.56989247311827951</v>
      </c>
      <c r="O183" s="178">
        <f t="shared" si="286"/>
        <v>3.4707737084647103</v>
      </c>
      <c r="P183" s="178">
        <f t="shared" si="287"/>
        <v>1.5233225806451611</v>
      </c>
      <c r="Q183" s="223">
        <f t="shared" si="288"/>
        <v>0.69415474169294211</v>
      </c>
      <c r="R183" s="223">
        <f t="shared" si="289"/>
        <v>1.0517496086256699</v>
      </c>
      <c r="S183" s="223">
        <f t="shared" si="290"/>
        <v>4.7544845321434392</v>
      </c>
      <c r="T183" s="223">
        <f t="shared" si="291"/>
        <v>1.5</v>
      </c>
      <c r="U183" s="223">
        <f t="shared" si="292"/>
        <v>3.75</v>
      </c>
      <c r="V183" s="223">
        <f t="shared" si="293"/>
        <v>2.9676616684864991</v>
      </c>
      <c r="W183" s="203">
        <f t="shared" si="294"/>
        <v>350</v>
      </c>
      <c r="X183" s="454">
        <f t="shared" si="295"/>
        <v>148.86132248832078</v>
      </c>
      <c r="Z183" s="223">
        <f t="shared" si="296"/>
        <v>0.63797709637851785</v>
      </c>
      <c r="AA183" s="179">
        <f t="shared" si="297"/>
        <v>1.2622001161965628</v>
      </c>
      <c r="AB183" s="179">
        <f t="shared" si="298"/>
        <v>0.3178637230972543</v>
      </c>
      <c r="AC183" s="179"/>
      <c r="AD183" s="179">
        <f t="shared" si="299"/>
        <v>0.59353233369729985</v>
      </c>
      <c r="AE183" s="563">
        <f t="shared" si="300"/>
        <v>2733.1657099738591</v>
      </c>
      <c r="AF183" s="546">
        <f t="shared" si="301"/>
        <v>9.3481342557324737E-2</v>
      </c>
      <c r="AH183" s="179">
        <f t="shared" si="302"/>
        <v>0.96159589572058113</v>
      </c>
      <c r="AI183" s="179">
        <f t="shared" si="303"/>
        <v>1.5</v>
      </c>
      <c r="AJ183" s="179">
        <f t="shared" si="304"/>
        <v>2.0888888888888886</v>
      </c>
      <c r="AL183" s="563">
        <f t="shared" si="305"/>
        <v>730</v>
      </c>
      <c r="AM183" s="472">
        <f t="shared" si="306"/>
        <v>148.86132248832078</v>
      </c>
      <c r="AO183" t="str">
        <f t="shared" si="307"/>
        <v/>
      </c>
      <c r="AP183" t="str">
        <f t="shared" si="308"/>
        <v/>
      </c>
      <c r="AR183" s="6">
        <f t="shared" si="233"/>
        <v>6.7176616684865005</v>
      </c>
      <c r="AS183" s="6">
        <f t="shared" si="313"/>
        <v>3.75</v>
      </c>
      <c r="AT183" s="6">
        <f t="shared" si="314"/>
        <v>2.9676616684865005</v>
      </c>
      <c r="AU183" s="179">
        <f t="shared" si="315"/>
        <v>0.5582299593312029</v>
      </c>
      <c r="AW183" s="6">
        <f t="shared" si="254"/>
        <v>54.749999999999993</v>
      </c>
      <c r="AX183" s="6">
        <f t="shared" si="255"/>
        <v>41.477272727272727</v>
      </c>
      <c r="AY183" s="6">
        <f t="shared" si="256"/>
        <v>0.83579977546108986</v>
      </c>
      <c r="AZ183" s="6"/>
      <c r="BA183" s="179">
        <f t="shared" si="257"/>
        <v>0.64704904721234402</v>
      </c>
      <c r="BB183" s="179">
        <f t="shared" si="258"/>
        <v>1.7268317157483473</v>
      </c>
      <c r="BC183" s="179">
        <f t="shared" si="259"/>
        <v>0.83895240856773867</v>
      </c>
      <c r="BD183" s="179"/>
      <c r="BE183" s="546">
        <f t="shared" si="260"/>
        <v>0.14653536432444075</v>
      </c>
      <c r="BF183" s="546">
        <f t="shared" si="261"/>
        <v>4.6723847596021675E-2</v>
      </c>
      <c r="BG183" s="546">
        <f t="shared" si="262"/>
        <v>1.8607665311040095E-3</v>
      </c>
      <c r="BH183" s="546">
        <f t="shared" si="263"/>
        <v>5.7937571019066889E-3</v>
      </c>
      <c r="BI183">
        <f t="shared" si="264"/>
        <v>3.48E-3</v>
      </c>
      <c r="BK183" s="472">
        <f t="shared" si="265"/>
        <v>204.39373555347314</v>
      </c>
      <c r="BL183" s="179">
        <f t="shared" si="266"/>
        <v>0.29199999999999998</v>
      </c>
      <c r="BM183" s="179">
        <f t="shared" si="267"/>
        <v>0.14599999999999999</v>
      </c>
      <c r="BN183" s="546"/>
      <c r="BP183" s="472">
        <f t="shared" si="268"/>
        <v>437.99999999999994</v>
      </c>
      <c r="BQ183" s="546">
        <f t="shared" si="269"/>
        <v>8.3734493899680448E-2</v>
      </c>
      <c r="BR183" s="546">
        <f t="shared" si="270"/>
        <v>0.11927791098057525</v>
      </c>
      <c r="BS183" s="546">
        <f t="shared" si="271"/>
        <v>7.0384114384160992E-2</v>
      </c>
      <c r="BT183" s="546">
        <f t="shared" si="272"/>
        <v>3.7252277922402315E-2</v>
      </c>
      <c r="BU183" s="546"/>
      <c r="BV183" s="655">
        <f t="shared" si="309"/>
        <v>3.3493797559872175E-2</v>
      </c>
      <c r="BW183" s="472">
        <f t="shared" si="273"/>
        <v>344.1425947466912</v>
      </c>
      <c r="BX183" s="179">
        <f t="shared" si="274"/>
        <v>0.9865363303001643</v>
      </c>
      <c r="BY183" s="6">
        <f t="shared" si="275"/>
        <v>4.8544999999999998</v>
      </c>
      <c r="BZ183" s="179">
        <f t="shared" si="276"/>
        <v>0.83110251768465426</v>
      </c>
      <c r="CA183" s="6">
        <f t="shared" si="277"/>
        <v>83.110251768465432</v>
      </c>
      <c r="CB183">
        <f t="shared" si="278"/>
        <v>73</v>
      </c>
      <c r="CD183" s="581">
        <f t="shared" si="310"/>
        <v>-50</v>
      </c>
      <c r="CE183">
        <f t="shared" si="311"/>
        <v>-50</v>
      </c>
    </row>
    <row r="184" spans="5:83" x14ac:dyDescent="0.2">
      <c r="E184" s="176">
        <v>74</v>
      </c>
      <c r="F184" s="223">
        <f t="shared" si="312"/>
        <v>0.74</v>
      </c>
      <c r="G184" s="223">
        <f t="shared" si="279"/>
        <v>0.37</v>
      </c>
      <c r="H184" s="223">
        <f t="shared" si="280"/>
        <v>3.7</v>
      </c>
      <c r="I184" s="223">
        <f t="shared" si="281"/>
        <v>1.2209999999999999</v>
      </c>
      <c r="J184" s="559">
        <f t="shared" si="282"/>
        <v>12</v>
      </c>
      <c r="K184" s="454">
        <f t="shared" si="283"/>
        <v>14.970704223505582</v>
      </c>
      <c r="L184" s="454">
        <f t="shared" si="284"/>
        <v>27.9</v>
      </c>
      <c r="M184" s="454"/>
      <c r="N184" s="223">
        <f t="shared" si="285"/>
        <v>0.56989247311827951</v>
      </c>
      <c r="O184" s="178">
        <f t="shared" si="286"/>
        <v>3.4707737084647103</v>
      </c>
      <c r="P184" s="178">
        <f t="shared" si="287"/>
        <v>1.5233225806451611</v>
      </c>
      <c r="Q184" s="223">
        <f t="shared" si="288"/>
        <v>0.69415474169294211</v>
      </c>
      <c r="R184" s="223">
        <f t="shared" si="289"/>
        <v>1.0517496086256699</v>
      </c>
      <c r="S184" s="223">
        <f t="shared" si="290"/>
        <v>4.6902347411685277</v>
      </c>
      <c r="T184" s="223">
        <f t="shared" si="291"/>
        <v>1.5</v>
      </c>
      <c r="U184" s="223">
        <f t="shared" si="292"/>
        <v>3.75</v>
      </c>
      <c r="V184" s="223">
        <f t="shared" si="293"/>
        <v>3.0058706209254518</v>
      </c>
      <c r="W184" s="203">
        <f t="shared" si="294"/>
        <v>350</v>
      </c>
      <c r="X184" s="454">
        <f t="shared" si="295"/>
        <v>148.0194124651569</v>
      </c>
      <c r="Z184" s="223">
        <f t="shared" si="296"/>
        <v>0.63436891056495814</v>
      </c>
      <c r="AA184" s="179">
        <f t="shared" si="297"/>
        <v>1.271220580730462</v>
      </c>
      <c r="AB184" s="179">
        <f t="shared" si="298"/>
        <v>0.31832479534963276</v>
      </c>
      <c r="AC184" s="179"/>
      <c r="AD184" s="179">
        <f t="shared" si="299"/>
        <v>0.60117412418509031</v>
      </c>
      <c r="AE184" s="563">
        <f t="shared" si="300"/>
        <v>2735.3879321960817</v>
      </c>
      <c r="AF184" s="546">
        <f t="shared" si="301"/>
        <v>9.4684924559151715E-2</v>
      </c>
      <c r="AH184" s="179">
        <f t="shared" si="302"/>
        <v>0.96815976642976309</v>
      </c>
      <c r="AI184" s="179">
        <f t="shared" si="303"/>
        <v>1.5</v>
      </c>
      <c r="AJ184" s="179">
        <f t="shared" si="304"/>
        <v>2.0888888888888886</v>
      </c>
      <c r="AL184" s="563">
        <f t="shared" si="305"/>
        <v>740</v>
      </c>
      <c r="AM184" s="472">
        <f t="shared" si="306"/>
        <v>148.0194124651569</v>
      </c>
      <c r="AO184" t="str">
        <f t="shared" si="307"/>
        <v/>
      </c>
      <c r="AP184" t="str">
        <f t="shared" si="308"/>
        <v/>
      </c>
      <c r="AR184" s="6">
        <f t="shared" si="233"/>
        <v>6.7558706209254504</v>
      </c>
      <c r="AS184" s="6">
        <f t="shared" si="313"/>
        <v>3.75</v>
      </c>
      <c r="AT184" s="6">
        <f t="shared" si="314"/>
        <v>3.0058706209254504</v>
      </c>
      <c r="AU184" s="179">
        <f t="shared" si="315"/>
        <v>0.5550727967443384</v>
      </c>
      <c r="AW184" s="6">
        <f t="shared" si="254"/>
        <v>55.5</v>
      </c>
      <c r="AX184" s="6">
        <f t="shared" si="255"/>
        <v>42.045454545454547</v>
      </c>
      <c r="AY184" s="6">
        <f t="shared" si="256"/>
        <v>0.85815750751729669</v>
      </c>
      <c r="AZ184" s="6"/>
      <c r="BA184" s="179">
        <f t="shared" si="257"/>
        <v>0.64521670588900115</v>
      </c>
      <c r="BB184" s="179">
        <f t="shared" si="258"/>
        <v>1.7329912354007206</v>
      </c>
      <c r="BC184" s="179">
        <f t="shared" si="259"/>
        <v>0.8419449085321834</v>
      </c>
      <c r="BD184" s="179"/>
      <c r="BE184" s="546">
        <f t="shared" si="260"/>
        <v>0.14570660914538883</v>
      </c>
      <c r="BF184" s="546">
        <f t="shared" si="261"/>
        <v>4.6459593087501111E-2</v>
      </c>
      <c r="BG184" s="546">
        <f t="shared" si="262"/>
        <v>1.8502426558144613E-3</v>
      </c>
      <c r="BH184" s="546">
        <f t="shared" si="263"/>
        <v>5.7609895428501401E-3</v>
      </c>
      <c r="BI184">
        <f t="shared" si="264"/>
        <v>3.48E-3</v>
      </c>
      <c r="BK184" s="472">
        <f t="shared" si="265"/>
        <v>203.25743443155454</v>
      </c>
      <c r="BL184" s="179">
        <f t="shared" si="266"/>
        <v>0.29599999999999999</v>
      </c>
      <c r="BM184" s="179">
        <f t="shared" si="267"/>
        <v>0.14799999999999999</v>
      </c>
      <c r="BN184" s="546"/>
      <c r="BP184" s="472">
        <f t="shared" si="268"/>
        <v>443.99999999999994</v>
      </c>
      <c r="BQ184" s="546">
        <f t="shared" si="269"/>
        <v>8.3260919511650766E-2</v>
      </c>
      <c r="BR184" s="546">
        <f t="shared" si="270"/>
        <v>0.12013034487902864</v>
      </c>
      <c r="BS184" s="546">
        <f t="shared" si="271"/>
        <v>7.0887122900326671E-2</v>
      </c>
      <c r="BT184" s="546">
        <f t="shared" si="272"/>
        <v>3.6727793844731328E-2</v>
      </c>
      <c r="BU184" s="546"/>
      <c r="BV184" s="655">
        <f t="shared" si="309"/>
        <v>3.3304367804660305E-2</v>
      </c>
      <c r="BW184" s="472">
        <f t="shared" si="273"/>
        <v>344.31054894039772</v>
      </c>
      <c r="BX184" s="179">
        <f t="shared" si="274"/>
        <v>0.99156798337195229</v>
      </c>
      <c r="BY184" s="6">
        <f t="shared" si="275"/>
        <v>4.9210000000000003</v>
      </c>
      <c r="BZ184" s="179">
        <f t="shared" si="276"/>
        <v>0.83229486981620149</v>
      </c>
      <c r="CA184" s="6">
        <f t="shared" si="277"/>
        <v>83.229486981620155</v>
      </c>
      <c r="CB184">
        <f t="shared" si="278"/>
        <v>74</v>
      </c>
      <c r="CD184" s="581">
        <f t="shared" si="310"/>
        <v>-50</v>
      </c>
      <c r="CE184">
        <f t="shared" si="311"/>
        <v>-50</v>
      </c>
    </row>
    <row r="185" spans="5:83" x14ac:dyDescent="0.2">
      <c r="E185" s="176">
        <v>75</v>
      </c>
      <c r="F185" s="223">
        <f t="shared" si="312"/>
        <v>0.75</v>
      </c>
      <c r="G185" s="223">
        <f t="shared" si="279"/>
        <v>0.375</v>
      </c>
      <c r="H185" s="223">
        <f t="shared" si="280"/>
        <v>3.75</v>
      </c>
      <c r="I185" s="223">
        <f t="shared" si="281"/>
        <v>1.2374999999999998</v>
      </c>
      <c r="J185" s="559">
        <f t="shared" si="282"/>
        <v>12</v>
      </c>
      <c r="K185" s="454">
        <f t="shared" si="283"/>
        <v>14.783094833858842</v>
      </c>
      <c r="L185" s="454">
        <f t="shared" si="284"/>
        <v>27.9</v>
      </c>
      <c r="M185" s="454"/>
      <c r="N185" s="223">
        <f t="shared" si="285"/>
        <v>0.56989247311827951</v>
      </c>
      <c r="O185" s="178">
        <f t="shared" si="286"/>
        <v>3.4707737084647103</v>
      </c>
      <c r="P185" s="178">
        <f t="shared" si="287"/>
        <v>1.5233225806451611</v>
      </c>
      <c r="Q185" s="223">
        <f t="shared" si="288"/>
        <v>0.69415474169294211</v>
      </c>
      <c r="R185" s="223">
        <f t="shared" si="289"/>
        <v>1.0517496086256699</v>
      </c>
      <c r="S185" s="223">
        <f t="shared" si="290"/>
        <v>4.6276982779529474</v>
      </c>
      <c r="T185" s="223">
        <f t="shared" si="291"/>
        <v>1.5</v>
      </c>
      <c r="U185" s="223">
        <f t="shared" si="292"/>
        <v>3.75</v>
      </c>
      <c r="V185" s="223">
        <f t="shared" si="293"/>
        <v>3.0440175420462765</v>
      </c>
      <c r="W185" s="203">
        <f t="shared" si="294"/>
        <v>350</v>
      </c>
      <c r="X185" s="454">
        <f t="shared" si="295"/>
        <v>147.18831586925987</v>
      </c>
      <c r="Z185" s="223">
        <f t="shared" si="296"/>
        <v>0.63080706801111386</v>
      </c>
      <c r="AA185" s="179">
        <f t="shared" si="297"/>
        <v>1.2801251871150729</v>
      </c>
      <c r="AB185" s="179">
        <f t="shared" si="298"/>
        <v>0.31875474314654118</v>
      </c>
      <c r="AC185" s="179"/>
      <c r="AD185" s="179">
        <f t="shared" si="299"/>
        <v>0.60880350840925535</v>
      </c>
      <c r="AE185" s="563">
        <f t="shared" si="300"/>
        <v>2737.6101544183043</v>
      </c>
      <c r="AF185" s="546">
        <f t="shared" si="301"/>
        <v>9.5886552574457717E-2</v>
      </c>
      <c r="AH185" s="179">
        <f t="shared" si="302"/>
        <v>0.97467943448089633</v>
      </c>
      <c r="AI185" s="179">
        <f t="shared" si="303"/>
        <v>1.5</v>
      </c>
      <c r="AJ185" s="179">
        <f t="shared" si="304"/>
        <v>2.0888888888888886</v>
      </c>
      <c r="AL185" s="563">
        <f t="shared" si="305"/>
        <v>750</v>
      </c>
      <c r="AM185" s="472">
        <f t="shared" si="306"/>
        <v>147.18831586925987</v>
      </c>
      <c r="AO185" t="str">
        <f t="shared" si="307"/>
        <v/>
      </c>
      <c r="AP185" t="str">
        <f t="shared" si="308"/>
        <v/>
      </c>
      <c r="AR185" s="6">
        <f t="shared" si="233"/>
        <v>6.7940175420462774</v>
      </c>
      <c r="AS185" s="6">
        <f t="shared" si="313"/>
        <v>3.75</v>
      </c>
      <c r="AT185" s="6">
        <f t="shared" si="314"/>
        <v>3.0440175420462774</v>
      </c>
      <c r="AU185" s="179">
        <f t="shared" si="315"/>
        <v>0.5519561845097245</v>
      </c>
      <c r="AW185" s="6">
        <f t="shared" si="254"/>
        <v>56.25</v>
      </c>
      <c r="AX185" s="6">
        <f t="shared" si="255"/>
        <v>42.61363636363636</v>
      </c>
      <c r="AY185" s="6">
        <f t="shared" si="256"/>
        <v>0.88079211286061265</v>
      </c>
      <c r="AZ185" s="6"/>
      <c r="BA185" s="179">
        <f t="shared" si="257"/>
        <v>0.64340278083195557</v>
      </c>
      <c r="BB185" s="179">
        <f t="shared" si="258"/>
        <v>1.7390502449783789</v>
      </c>
      <c r="BC185" s="179">
        <f t="shared" si="259"/>
        <v>0.84488857735199563</v>
      </c>
      <c r="BD185" s="179"/>
      <c r="BE185" s="546">
        <f t="shared" si="260"/>
        <v>0.14488849843380269</v>
      </c>
      <c r="BF185" s="546">
        <f t="shared" si="261"/>
        <v>4.6198732643463934E-2</v>
      </c>
      <c r="BG185" s="546">
        <f t="shared" si="262"/>
        <v>1.8398539483657481E-3</v>
      </c>
      <c r="BH185" s="546">
        <f t="shared" si="263"/>
        <v>5.7286428477895286E-3</v>
      </c>
      <c r="BI185">
        <f t="shared" si="264"/>
        <v>3.48E-3</v>
      </c>
      <c r="BK185" s="472">
        <f t="shared" si="265"/>
        <v>202.13572787342193</v>
      </c>
      <c r="BL185" s="179">
        <f t="shared" si="266"/>
        <v>0.30000000000000004</v>
      </c>
      <c r="BM185" s="179">
        <f t="shared" si="267"/>
        <v>0.15000000000000002</v>
      </c>
      <c r="BN185" s="546"/>
      <c r="BP185" s="472">
        <f t="shared" si="268"/>
        <v>450.00000000000006</v>
      </c>
      <c r="BQ185" s="546">
        <f t="shared" si="269"/>
        <v>8.2793427676458697E-2</v>
      </c>
      <c r="BR185" s="546">
        <f t="shared" si="270"/>
        <v>0.1209718301823744</v>
      </c>
      <c r="BS185" s="546">
        <f t="shared" si="271"/>
        <v>7.1383670813987915E-2</v>
      </c>
      <c r="BT185" s="546">
        <f t="shared" si="272"/>
        <v>3.6214416516855787E-2</v>
      </c>
      <c r="BU185" s="546"/>
      <c r="BV185" s="655">
        <f t="shared" si="309"/>
        <v>3.3117371070583476E-2</v>
      </c>
      <c r="BW185" s="472">
        <f t="shared" si="273"/>
        <v>344.48071626026035</v>
      </c>
      <c r="BX185" s="179">
        <f t="shared" si="274"/>
        <v>0.99661644413368211</v>
      </c>
      <c r="BY185" s="6">
        <f t="shared" si="275"/>
        <v>4.9874999999999998</v>
      </c>
      <c r="BZ185" s="179">
        <f t="shared" si="276"/>
        <v>0.83345637514947091</v>
      </c>
      <c r="CA185" s="6">
        <f t="shared" si="277"/>
        <v>83.345637514947086</v>
      </c>
      <c r="CB185">
        <f t="shared" si="278"/>
        <v>75</v>
      </c>
      <c r="CD185" s="581">
        <f t="shared" si="310"/>
        <v>-50</v>
      </c>
      <c r="CE185">
        <f t="shared" si="311"/>
        <v>-50</v>
      </c>
    </row>
    <row r="186" spans="5:83" x14ac:dyDescent="0.2">
      <c r="E186" s="176">
        <v>76</v>
      </c>
      <c r="F186" s="223">
        <f t="shared" si="312"/>
        <v>0.76</v>
      </c>
      <c r="G186" s="223">
        <f t="shared" si="279"/>
        <v>0.38</v>
      </c>
      <c r="H186" s="223">
        <f t="shared" si="280"/>
        <v>3.8</v>
      </c>
      <c r="I186" s="223">
        <f t="shared" si="281"/>
        <v>1.254</v>
      </c>
      <c r="J186" s="559">
        <f t="shared" si="282"/>
        <v>12</v>
      </c>
      <c r="K186" s="454">
        <f t="shared" si="283"/>
        <v>14.60042253341333</v>
      </c>
      <c r="L186" s="454">
        <f t="shared" si="284"/>
        <v>27.9</v>
      </c>
      <c r="M186" s="454"/>
      <c r="N186" s="223">
        <f t="shared" si="285"/>
        <v>0.56989247311827951</v>
      </c>
      <c r="O186" s="178">
        <f t="shared" si="286"/>
        <v>3.4707737084647103</v>
      </c>
      <c r="P186" s="178">
        <f t="shared" si="287"/>
        <v>1.5233225806451611</v>
      </c>
      <c r="Q186" s="223">
        <f t="shared" si="288"/>
        <v>0.69415474169294211</v>
      </c>
      <c r="R186" s="223">
        <f t="shared" si="289"/>
        <v>1.0517496086256699</v>
      </c>
      <c r="S186" s="223">
        <f t="shared" si="290"/>
        <v>4.5668075111377764</v>
      </c>
      <c r="T186" s="223">
        <f t="shared" si="291"/>
        <v>1.5</v>
      </c>
      <c r="U186" s="223">
        <f t="shared" si="292"/>
        <v>3.75</v>
      </c>
      <c r="V186" s="223">
        <f t="shared" si="293"/>
        <v>3.0821025827859909</v>
      </c>
      <c r="W186" s="203">
        <f t="shared" si="294"/>
        <v>350</v>
      </c>
      <c r="X186" s="454">
        <f t="shared" si="295"/>
        <v>146.36782569974534</v>
      </c>
      <c r="Z186" s="223">
        <f t="shared" si="296"/>
        <v>0.62729068157033729</v>
      </c>
      <c r="AA186" s="179">
        <f t="shared" si="297"/>
        <v>1.2889161532170141</v>
      </c>
      <c r="AB186" s="179">
        <f t="shared" si="298"/>
        <v>0.31915464167309926</v>
      </c>
      <c r="AC186" s="179"/>
      <c r="AD186" s="179">
        <f t="shared" si="299"/>
        <v>0.61642051655719809</v>
      </c>
      <c r="AE186" s="563">
        <f t="shared" si="300"/>
        <v>2739.832376640526</v>
      </c>
      <c r="AF186" s="546">
        <f t="shared" si="301"/>
        <v>9.7086231357758707E-2</v>
      </c>
      <c r="AH186" s="179">
        <f t="shared" si="302"/>
        <v>0.9811557810392123</v>
      </c>
      <c r="AI186" s="179">
        <f t="shared" si="303"/>
        <v>1.5</v>
      </c>
      <c r="AJ186" s="179">
        <f t="shared" si="304"/>
        <v>2.0888888888888886</v>
      </c>
      <c r="AL186" s="563">
        <f t="shared" si="305"/>
        <v>760</v>
      </c>
      <c r="AM186" s="472">
        <f t="shared" si="306"/>
        <v>146.36782569974534</v>
      </c>
      <c r="AO186" t="str">
        <f t="shared" si="307"/>
        <v/>
      </c>
      <c r="AP186" t="str">
        <f t="shared" si="308"/>
        <v/>
      </c>
      <c r="AR186" s="6">
        <f t="shared" si="233"/>
        <v>6.8321025827859918</v>
      </c>
      <c r="AS186" s="6">
        <f t="shared" si="313"/>
        <v>3.75</v>
      </c>
      <c r="AT186" s="6">
        <f t="shared" si="314"/>
        <v>3.0821025827859918</v>
      </c>
      <c r="AU186" s="179">
        <f t="shared" si="315"/>
        <v>0.54887934637404501</v>
      </c>
      <c r="AW186" s="6">
        <f t="shared" si="254"/>
        <v>57</v>
      </c>
      <c r="AX186" s="6">
        <f t="shared" si="255"/>
        <v>43.18181818181818</v>
      </c>
      <c r="AY186" s="6">
        <f t="shared" si="256"/>
        <v>0.90370291779218892</v>
      </c>
      <c r="AZ186" s="6"/>
      <c r="BA186" s="179">
        <f t="shared" si="257"/>
        <v>0.64160697454168447</v>
      </c>
      <c r="BB186" s="179">
        <f t="shared" si="258"/>
        <v>1.7450112927930284</v>
      </c>
      <c r="BC186" s="179">
        <f t="shared" si="259"/>
        <v>0.84778465308194617</v>
      </c>
      <c r="BD186" s="179"/>
      <c r="BE186" s="546">
        <f t="shared" si="260"/>
        <v>0.14408082842318679</v>
      </c>
      <c r="BF186" s="546">
        <f t="shared" si="261"/>
        <v>4.5941201291507555E-2</v>
      </c>
      <c r="BG186" s="546">
        <f t="shared" si="262"/>
        <v>1.8295978212468165E-3</v>
      </c>
      <c r="BH186" s="546">
        <f t="shared" si="263"/>
        <v>5.6967089601469385E-3</v>
      </c>
      <c r="BI186">
        <f t="shared" si="264"/>
        <v>3.48E-3</v>
      </c>
      <c r="BK186" s="472">
        <f t="shared" si="265"/>
        <v>201.02833649608809</v>
      </c>
      <c r="BL186" s="179">
        <f t="shared" si="266"/>
        <v>0.30400000000000005</v>
      </c>
      <c r="BM186" s="179">
        <f t="shared" si="267"/>
        <v>0.15200000000000002</v>
      </c>
      <c r="BN186" s="546"/>
      <c r="BP186" s="472">
        <f t="shared" si="268"/>
        <v>456.00000000000006</v>
      </c>
      <c r="BQ186" s="546">
        <f t="shared" si="269"/>
        <v>8.2331901956106748E-2</v>
      </c>
      <c r="BR186" s="546">
        <f t="shared" si="270"/>
        <v>0.12180257647900784</v>
      </c>
      <c r="BS186" s="546">
        <f t="shared" si="271"/>
        <v>7.187388180012759E-2</v>
      </c>
      <c r="BT186" s="546">
        <f t="shared" si="272"/>
        <v>3.5711838220897796E-2</v>
      </c>
      <c r="BU186" s="546"/>
      <c r="BV186" s="655">
        <f t="shared" si="309"/>
        <v>3.2932760782442699E-2</v>
      </c>
      <c r="BW186" s="472">
        <f t="shared" si="273"/>
        <v>344.65295923858264</v>
      </c>
      <c r="BX186" s="179">
        <f t="shared" si="274"/>
        <v>1.0016812957346708</v>
      </c>
      <c r="BY186" s="6">
        <f t="shared" si="275"/>
        <v>4.994096289109871</v>
      </c>
      <c r="BZ186" s="179">
        <f t="shared" si="276"/>
        <v>0.83293554813197057</v>
      </c>
      <c r="CA186" s="6">
        <f t="shared" si="277"/>
        <v>83.293554813197062</v>
      </c>
      <c r="CB186">
        <f t="shared" si="278"/>
        <v>76</v>
      </c>
      <c r="CD186" s="581">
        <f t="shared" si="310"/>
        <v>-50</v>
      </c>
      <c r="CE186">
        <f t="shared" si="311"/>
        <v>-50</v>
      </c>
    </row>
    <row r="187" spans="5:83" x14ac:dyDescent="0.2">
      <c r="E187" s="176">
        <v>77</v>
      </c>
      <c r="F187" s="223">
        <f t="shared" si="312"/>
        <v>0.77</v>
      </c>
      <c r="G187" s="223">
        <f t="shared" si="279"/>
        <v>0.38500000000000001</v>
      </c>
      <c r="H187" s="223">
        <f t="shared" si="280"/>
        <v>3.85</v>
      </c>
      <c r="I187" s="223">
        <f t="shared" si="281"/>
        <v>1.2705</v>
      </c>
      <c r="J187" s="559">
        <f t="shared" si="282"/>
        <v>12</v>
      </c>
      <c r="K187" s="454">
        <f t="shared" si="283"/>
        <v>14.422494968044324</v>
      </c>
      <c r="L187" s="454">
        <f t="shared" si="284"/>
        <v>27.9</v>
      </c>
      <c r="M187" s="454"/>
      <c r="N187" s="223">
        <f t="shared" si="285"/>
        <v>0.56989247311827951</v>
      </c>
      <c r="O187" s="178">
        <f t="shared" si="286"/>
        <v>3.4707737084647103</v>
      </c>
      <c r="P187" s="178">
        <f t="shared" si="287"/>
        <v>1.5233225806451611</v>
      </c>
      <c r="Q187" s="223">
        <f t="shared" si="288"/>
        <v>0.69415474169294211</v>
      </c>
      <c r="R187" s="223">
        <f t="shared" si="289"/>
        <v>1.0517496086256699</v>
      </c>
      <c r="S187" s="223">
        <f t="shared" si="290"/>
        <v>4.5074983226814416</v>
      </c>
      <c r="T187" s="223">
        <f t="shared" si="291"/>
        <v>1.5</v>
      </c>
      <c r="U187" s="223">
        <f t="shared" si="292"/>
        <v>3.75</v>
      </c>
      <c r="V187" s="223">
        <f t="shared" si="293"/>
        <v>3.1201258935923177</v>
      </c>
      <c r="W187" s="203">
        <f t="shared" si="294"/>
        <v>350</v>
      </c>
      <c r="X187" s="454">
        <f t="shared" si="295"/>
        <v>145.55774020570536</v>
      </c>
      <c r="Z187" s="223">
        <f t="shared" si="296"/>
        <v>0.62381888659588014</v>
      </c>
      <c r="AA187" s="179">
        <f t="shared" si="297"/>
        <v>1.2975956406531568</v>
      </c>
      <c r="AB187" s="179">
        <f t="shared" si="298"/>
        <v>0.31952552676470525</v>
      </c>
      <c r="AC187" s="179"/>
      <c r="AD187" s="179">
        <f t="shared" si="299"/>
        <v>0.62402517871846352</v>
      </c>
      <c r="AE187" s="563">
        <f t="shared" si="300"/>
        <v>2742.0545988627482</v>
      </c>
      <c r="AF187" s="546">
        <f t="shared" si="301"/>
        <v>9.8283965648158E-2</v>
      </c>
      <c r="AH187" s="179">
        <f t="shared" si="302"/>
        <v>0.98758965837706769</v>
      </c>
      <c r="AI187" s="179">
        <f t="shared" si="303"/>
        <v>1.5</v>
      </c>
      <c r="AJ187" s="179">
        <f t="shared" si="304"/>
        <v>2.0888888888888886</v>
      </c>
      <c r="AL187" s="563">
        <f t="shared" si="305"/>
        <v>770</v>
      </c>
      <c r="AM187" s="472">
        <f t="shared" si="306"/>
        <v>145.55774020570536</v>
      </c>
      <c r="AO187" t="str">
        <f t="shared" si="307"/>
        <v/>
      </c>
      <c r="AP187" t="str">
        <f t="shared" si="308"/>
        <v/>
      </c>
      <c r="AR187" s="6">
        <f t="shared" si="233"/>
        <v>6.8701258935923173</v>
      </c>
      <c r="AS187" s="6">
        <f t="shared" si="313"/>
        <v>3.75</v>
      </c>
      <c r="AT187" s="6">
        <f t="shared" si="314"/>
        <v>3.1201258935923173</v>
      </c>
      <c r="AU187" s="179">
        <f t="shared" si="315"/>
        <v>0.54584152577139511</v>
      </c>
      <c r="AW187" s="6">
        <f t="shared" si="254"/>
        <v>57.75</v>
      </c>
      <c r="AX187" s="6">
        <f t="shared" si="255"/>
        <v>43.750000000000007</v>
      </c>
      <c r="AY187" s="6">
        <f t="shared" si="256"/>
        <v>0.92688925079710016</v>
      </c>
      <c r="AZ187" s="6"/>
      <c r="BA187" s="179">
        <f t="shared" si="257"/>
        <v>0.63982899616111988</v>
      </c>
      <c r="BB187" s="179">
        <f t="shared" si="258"/>
        <v>1.7508768377710304</v>
      </c>
      <c r="BC187" s="179">
        <f t="shared" si="259"/>
        <v>0.85063433035042557</v>
      </c>
      <c r="BD187" s="179"/>
      <c r="BE187" s="546">
        <f t="shared" si="260"/>
        <v>0.14328340051499119</v>
      </c>
      <c r="BF187" s="546">
        <f t="shared" si="261"/>
        <v>4.5686935707065758E-2</v>
      </c>
      <c r="BG187" s="546">
        <f t="shared" si="262"/>
        <v>1.8194717525713169E-3</v>
      </c>
      <c r="BH187" s="546">
        <f t="shared" si="263"/>
        <v>5.6651800276761553E-3</v>
      </c>
      <c r="BI187">
        <f t="shared" si="264"/>
        <v>3.48E-3</v>
      </c>
      <c r="BK187" s="472">
        <f t="shared" si="265"/>
        <v>199.93498800230444</v>
      </c>
      <c r="BL187" s="179">
        <f t="shared" si="266"/>
        <v>0.30800000000000005</v>
      </c>
      <c r="BM187" s="179">
        <f t="shared" si="267"/>
        <v>0.15400000000000003</v>
      </c>
      <c r="BN187" s="546"/>
      <c r="BP187" s="472">
        <f t="shared" si="268"/>
        <v>462.00000000000006</v>
      </c>
      <c r="BQ187" s="546">
        <f t="shared" si="269"/>
        <v>8.1876228865709277E-2</v>
      </c>
      <c r="BR187" s="546">
        <f t="shared" si="270"/>
        <v>0.12262278804172333</v>
      </c>
      <c r="BS187" s="546">
        <f t="shared" si="271"/>
        <v>7.2357876397071696E-2</v>
      </c>
      <c r="BT187" s="546">
        <f t="shared" si="272"/>
        <v>3.5219761707539439E-2</v>
      </c>
      <c r="BU187" s="546"/>
      <c r="BV187" s="655">
        <f t="shared" si="309"/>
        <v>3.2750491546283705E-2</v>
      </c>
      <c r="BW187" s="472">
        <f t="shared" si="273"/>
        <v>344.82714655832746</v>
      </c>
      <c r="BX187" s="179">
        <f t="shared" si="274"/>
        <v>1.0067621345606319</v>
      </c>
      <c r="BY187" s="6">
        <f t="shared" si="275"/>
        <v>4.994096289109871</v>
      </c>
      <c r="BZ187" s="179">
        <f t="shared" si="276"/>
        <v>0.83223031381819657</v>
      </c>
      <c r="CA187" s="6">
        <f t="shared" si="277"/>
        <v>83.223031381819652</v>
      </c>
      <c r="CB187">
        <f t="shared" si="278"/>
        <v>77</v>
      </c>
      <c r="CD187" s="581">
        <f t="shared" si="310"/>
        <v>-50</v>
      </c>
      <c r="CE187">
        <f t="shared" si="311"/>
        <v>-50</v>
      </c>
    </row>
    <row r="188" spans="5:83" x14ac:dyDescent="0.2">
      <c r="E188" s="176">
        <v>78</v>
      </c>
      <c r="F188" s="223">
        <f t="shared" si="312"/>
        <v>0.78</v>
      </c>
      <c r="G188" s="223">
        <f t="shared" si="279"/>
        <v>0.39</v>
      </c>
      <c r="H188" s="223">
        <f t="shared" si="280"/>
        <v>3.9000000000000004</v>
      </c>
      <c r="I188" s="223">
        <f t="shared" si="281"/>
        <v>1.2869999999999999</v>
      </c>
      <c r="J188" s="559">
        <f t="shared" si="282"/>
        <v>12</v>
      </c>
      <c r="K188" s="454">
        <f t="shared" si="283"/>
        <v>14.249129647941192</v>
      </c>
      <c r="L188" s="454">
        <f t="shared" si="284"/>
        <v>27.9</v>
      </c>
      <c r="M188" s="454"/>
      <c r="N188" s="223">
        <f t="shared" si="285"/>
        <v>0.56989247311827951</v>
      </c>
      <c r="O188" s="178">
        <f t="shared" si="286"/>
        <v>3.4707737084647103</v>
      </c>
      <c r="P188" s="178">
        <f t="shared" si="287"/>
        <v>1.5233225806451611</v>
      </c>
      <c r="Q188" s="223">
        <f t="shared" si="288"/>
        <v>0.69415474169294211</v>
      </c>
      <c r="R188" s="223">
        <f t="shared" si="289"/>
        <v>1.0517496086256699</v>
      </c>
      <c r="S188" s="223">
        <f t="shared" si="290"/>
        <v>4.4497098826470642</v>
      </c>
      <c r="T188" s="223">
        <f t="shared" si="291"/>
        <v>1.5</v>
      </c>
      <c r="U188" s="223">
        <f t="shared" si="292"/>
        <v>3.75</v>
      </c>
      <c r="V188" s="223">
        <f t="shared" si="293"/>
        <v>3.1580876244256713</v>
      </c>
      <c r="W188" s="203">
        <f t="shared" si="294"/>
        <v>350</v>
      </c>
      <c r="X188" s="454">
        <f t="shared" si="295"/>
        <v>144.75786272081899</v>
      </c>
      <c r="Z188" s="223">
        <f t="shared" si="296"/>
        <v>0.62039084023208146</v>
      </c>
      <c r="AA188" s="179">
        <f t="shared" si="297"/>
        <v>1.3061657565626534</v>
      </c>
      <c r="AB188" s="179">
        <f t="shared" si="298"/>
        <v>0.31986839652484611</v>
      </c>
      <c r="AC188" s="179"/>
      <c r="AD188" s="179">
        <f t="shared" si="299"/>
        <v>0.63161752488513423</v>
      </c>
      <c r="AE188" s="563">
        <f t="shared" si="300"/>
        <v>2744.2768210849699</v>
      </c>
      <c r="AF188" s="546">
        <f t="shared" si="301"/>
        <v>9.9479760169408654E-2</v>
      </c>
      <c r="AH188" s="179">
        <f t="shared" si="302"/>
        <v>0.99398189118313418</v>
      </c>
      <c r="AI188" s="179">
        <f t="shared" si="303"/>
        <v>1.5</v>
      </c>
      <c r="AJ188" s="179">
        <f t="shared" si="304"/>
        <v>2.0888888888888886</v>
      </c>
      <c r="AL188" s="563">
        <f t="shared" si="305"/>
        <v>780</v>
      </c>
      <c r="AM188" s="472">
        <f t="shared" si="306"/>
        <v>144.75786272081899</v>
      </c>
      <c r="AO188" t="str">
        <f t="shared" si="307"/>
        <v/>
      </c>
      <c r="AP188" t="str">
        <f t="shared" si="308"/>
        <v/>
      </c>
      <c r="AR188" s="6">
        <f t="shared" si="233"/>
        <v>6.9080876244256721</v>
      </c>
      <c r="AS188" s="6">
        <f t="shared" si="313"/>
        <v>3.75</v>
      </c>
      <c r="AT188" s="6">
        <f t="shared" si="314"/>
        <v>3.1580876244256721</v>
      </c>
      <c r="AU188" s="179">
        <f t="shared" si="315"/>
        <v>0.54284198520307125</v>
      </c>
      <c r="AW188" s="6">
        <f t="shared" si="254"/>
        <v>58.5</v>
      </c>
      <c r="AX188" s="6">
        <f t="shared" si="255"/>
        <v>44.31818181818182</v>
      </c>
      <c r="AY188" s="6">
        <f t="shared" si="256"/>
        <v>0.95035044253550305</v>
      </c>
      <c r="AZ188" s="6"/>
      <c r="BA188" s="179">
        <f t="shared" si="257"/>
        <v>0.6380685612865622</v>
      </c>
      <c r="BB188" s="179">
        <f t="shared" si="258"/>
        <v>1.7566492535162701</v>
      </c>
      <c r="BC188" s="179">
        <f t="shared" si="259"/>
        <v>0.85343876233332105</v>
      </c>
      <c r="BD188" s="179"/>
      <c r="BE188" s="546">
        <f t="shared" si="260"/>
        <v>0.14249602111580617</v>
      </c>
      <c r="BF188" s="546">
        <f t="shared" si="261"/>
        <v>4.5435874161497053E-2</v>
      </c>
      <c r="BG188" s="546">
        <f t="shared" si="262"/>
        <v>1.8094732840102372E-3</v>
      </c>
      <c r="BH188" s="546">
        <f t="shared" si="263"/>
        <v>5.6340483960256359E-3</v>
      </c>
      <c r="BI188">
        <f t="shared" si="264"/>
        <v>3.48E-3</v>
      </c>
      <c r="BK188" s="472">
        <f t="shared" si="265"/>
        <v>198.85541695733912</v>
      </c>
      <c r="BL188" s="179">
        <f t="shared" si="266"/>
        <v>0.31200000000000006</v>
      </c>
      <c r="BM188" s="179">
        <f t="shared" si="267"/>
        <v>0.15600000000000003</v>
      </c>
      <c r="BN188" s="546"/>
      <c r="BP188" s="472">
        <f t="shared" si="268"/>
        <v>468.00000000000006</v>
      </c>
      <c r="BQ188" s="546">
        <f t="shared" si="269"/>
        <v>8.1426297780460677E-2</v>
      </c>
      <c r="BR188" s="546">
        <f t="shared" si="270"/>
        <v>0.12343266399517075</v>
      </c>
      <c r="BS188" s="546">
        <f t="shared" si="271"/>
        <v>7.2835772105303093E-2</v>
      </c>
      <c r="BT188" s="546">
        <f t="shared" si="272"/>
        <v>3.4737899775253323E-2</v>
      </c>
      <c r="BU188" s="546"/>
      <c r="BV188" s="655">
        <f t="shared" si="309"/>
        <v>3.2570519112184275E-2</v>
      </c>
      <c r="BW188" s="472">
        <f t="shared" si="273"/>
        <v>345.0031527683721</v>
      </c>
      <c r="BX188" s="179">
        <f t="shared" si="274"/>
        <v>1.0118585697257112</v>
      </c>
      <c r="BY188" s="6">
        <f t="shared" si="275"/>
        <v>4.994096289109871</v>
      </c>
      <c r="BZ188" s="179">
        <f t="shared" si="276"/>
        <v>0.83152411339936583</v>
      </c>
      <c r="CA188" s="6">
        <f t="shared" si="277"/>
        <v>83.152411339936577</v>
      </c>
      <c r="CB188">
        <f t="shared" si="278"/>
        <v>78</v>
      </c>
      <c r="CD188" s="581">
        <f t="shared" si="310"/>
        <v>-50</v>
      </c>
      <c r="CE188">
        <f t="shared" si="311"/>
        <v>-50</v>
      </c>
    </row>
    <row r="189" spans="5:83" x14ac:dyDescent="0.2">
      <c r="E189" s="176">
        <v>79</v>
      </c>
      <c r="F189" s="223">
        <f t="shared" si="312"/>
        <v>0.79</v>
      </c>
      <c r="G189" s="223">
        <f t="shared" si="279"/>
        <v>0.39500000000000002</v>
      </c>
      <c r="H189" s="223">
        <f t="shared" si="280"/>
        <v>3.95</v>
      </c>
      <c r="I189" s="223">
        <f t="shared" si="281"/>
        <v>1.3034999999999999</v>
      </c>
      <c r="J189" s="559">
        <f t="shared" si="282"/>
        <v>12</v>
      </c>
      <c r="K189" s="454">
        <f t="shared" si="283"/>
        <v>14.08015332328371</v>
      </c>
      <c r="L189" s="454">
        <f t="shared" si="284"/>
        <v>27.9</v>
      </c>
      <c r="M189" s="454"/>
      <c r="N189" s="223">
        <f t="shared" si="285"/>
        <v>0.56989247311827951</v>
      </c>
      <c r="O189" s="178">
        <f t="shared" si="286"/>
        <v>3.4707737084647103</v>
      </c>
      <c r="P189" s="178">
        <f t="shared" si="287"/>
        <v>1.5233225806451611</v>
      </c>
      <c r="Q189" s="223">
        <f t="shared" si="288"/>
        <v>0.69415474169294211</v>
      </c>
      <c r="R189" s="223">
        <f t="shared" si="289"/>
        <v>1.0517496086256699</v>
      </c>
      <c r="S189" s="223">
        <f t="shared" si="290"/>
        <v>4.3933844410945699</v>
      </c>
      <c r="T189" s="223">
        <f t="shared" si="291"/>
        <v>1.5</v>
      </c>
      <c r="U189" s="223">
        <f t="shared" si="292"/>
        <v>3.75</v>
      </c>
      <c r="V189" s="223">
        <f t="shared" si="293"/>
        <v>3.1959879247611278</v>
      </c>
      <c r="W189" s="203">
        <f t="shared" si="294"/>
        <v>350</v>
      </c>
      <c r="X189" s="454">
        <f t="shared" si="295"/>
        <v>143.96800150417624</v>
      </c>
      <c r="Z189" s="223">
        <f t="shared" si="296"/>
        <v>0.61700572073218385</v>
      </c>
      <c r="AA189" s="179">
        <f t="shared" si="297"/>
        <v>1.3146285553123975</v>
      </c>
      <c r="AB189" s="179">
        <f t="shared" si="298"/>
        <v>0.32018421286801396</v>
      </c>
      <c r="AC189" s="179"/>
      <c r="AD189" s="179">
        <f t="shared" si="299"/>
        <v>0.63919758495222556</v>
      </c>
      <c r="AE189" s="563">
        <f t="shared" si="300"/>
        <v>2746.499043307193</v>
      </c>
      <c r="AF189" s="546">
        <f t="shared" si="301"/>
        <v>0.10067361962997551</v>
      </c>
      <c r="AH189" s="179">
        <f t="shared" si="302"/>
        <v>1.0003332777962886</v>
      </c>
      <c r="AI189" s="179">
        <f t="shared" si="303"/>
        <v>1.5</v>
      </c>
      <c r="AJ189" s="179">
        <f t="shared" si="304"/>
        <v>2.0888888888888886</v>
      </c>
      <c r="AL189" s="563">
        <f t="shared" si="305"/>
        <v>790</v>
      </c>
      <c r="AM189" s="472">
        <f t="shared" si="306"/>
        <v>143.96800150417624</v>
      </c>
      <c r="AO189" t="str">
        <f t="shared" si="307"/>
        <v/>
      </c>
      <c r="AP189" t="str">
        <f t="shared" si="308"/>
        <v/>
      </c>
      <c r="AR189" s="6">
        <f t="shared" si="233"/>
        <v>6.9459879247611278</v>
      </c>
      <c r="AS189" s="6">
        <f t="shared" si="313"/>
        <v>3.75</v>
      </c>
      <c r="AT189" s="6">
        <f t="shared" si="314"/>
        <v>3.1959879247611278</v>
      </c>
      <c r="AU189" s="179">
        <f t="shared" si="315"/>
        <v>0.53988000564066085</v>
      </c>
      <c r="AW189" s="6">
        <f t="shared" si="254"/>
        <v>59.250000000000007</v>
      </c>
      <c r="AX189" s="6">
        <f t="shared" si="255"/>
        <v>44.88636363636364</v>
      </c>
      <c r="AY189" s="6">
        <f t="shared" si="256"/>
        <v>0.9740858258338313</v>
      </c>
      <c r="AZ189" s="6"/>
      <c r="BA189" s="179">
        <f t="shared" si="257"/>
        <v>0.63632539178512726</v>
      </c>
      <c r="BB189" s="179">
        <f t="shared" si="258"/>
        <v>1.7623308321440498</v>
      </c>
      <c r="BC189" s="179">
        <f t="shared" si="259"/>
        <v>0.8561990626166508</v>
      </c>
      <c r="BD189" s="179"/>
      <c r="BE189" s="546">
        <f t="shared" si="260"/>
        <v>0.1417185014806735</v>
      </c>
      <c r="BF189" s="546">
        <f t="shared" si="261"/>
        <v>4.5187956472123307E-2</v>
      </c>
      <c r="BG189" s="546">
        <f t="shared" si="262"/>
        <v>1.799600018802203E-3</v>
      </c>
      <c r="BH189" s="546">
        <f t="shared" si="263"/>
        <v>5.603306602543291E-3</v>
      </c>
      <c r="BI189">
        <f t="shared" si="264"/>
        <v>3.48E-3</v>
      </c>
      <c r="BK189" s="472">
        <f t="shared" si="265"/>
        <v>197.78936457414233</v>
      </c>
      <c r="BL189" s="179">
        <f t="shared" si="266"/>
        <v>0.31600000000000006</v>
      </c>
      <c r="BM189" s="179">
        <f t="shared" si="267"/>
        <v>0.15800000000000003</v>
      </c>
      <c r="BN189" s="546"/>
      <c r="BP189" s="472">
        <f t="shared" si="268"/>
        <v>474.00000000000011</v>
      </c>
      <c r="BQ189" s="546">
        <f t="shared" si="269"/>
        <v>8.0982000846099148E-2</v>
      </c>
      <c r="BR189" s="546">
        <f t="shared" si="270"/>
        <v>0.12423239847702157</v>
      </c>
      <c r="BS189" s="546">
        <f t="shared" si="271"/>
        <v>7.3307683482563155E-2</v>
      </c>
      <c r="BT189" s="546">
        <f t="shared" si="272"/>
        <v>3.4265974868995248E-2</v>
      </c>
      <c r="BU189" s="546"/>
      <c r="BV189" s="655">
        <f t="shared" si="309"/>
        <v>3.2392800338439658E-2</v>
      </c>
      <c r="BW189" s="472">
        <f t="shared" si="273"/>
        <v>345.18085801311878</v>
      </c>
      <c r="BX189" s="179">
        <f t="shared" si="274"/>
        <v>1.0169702225872612</v>
      </c>
      <c r="BY189" s="6">
        <f t="shared" si="275"/>
        <v>4.994096289109871</v>
      </c>
      <c r="BZ189" s="179">
        <f t="shared" si="276"/>
        <v>0.83081700716365303</v>
      </c>
      <c r="CA189" s="6">
        <f t="shared" si="277"/>
        <v>83.081700716365305</v>
      </c>
      <c r="CB189">
        <f t="shared" si="278"/>
        <v>79</v>
      </c>
      <c r="CD189" s="581">
        <f t="shared" si="310"/>
        <v>-50</v>
      </c>
      <c r="CE189">
        <f t="shared" si="311"/>
        <v>-50</v>
      </c>
    </row>
    <row r="190" spans="5:83" x14ac:dyDescent="0.2">
      <c r="E190" s="176">
        <v>80</v>
      </c>
      <c r="F190" s="223">
        <f t="shared" si="312"/>
        <v>0.8</v>
      </c>
      <c r="G190" s="223">
        <f t="shared" si="279"/>
        <v>0.4</v>
      </c>
      <c r="H190" s="223">
        <f t="shared" si="280"/>
        <v>4</v>
      </c>
      <c r="I190" s="223">
        <f t="shared" si="281"/>
        <v>1.32</v>
      </c>
      <c r="J190" s="559">
        <f t="shared" si="282"/>
        <v>12</v>
      </c>
      <c r="K190" s="454">
        <f t="shared" si="283"/>
        <v>13.915401406742662</v>
      </c>
      <c r="L190" s="454">
        <f t="shared" si="284"/>
        <v>27.9</v>
      </c>
      <c r="M190" s="454"/>
      <c r="N190" s="223">
        <f t="shared" si="285"/>
        <v>0.56989247311827951</v>
      </c>
      <c r="O190" s="178">
        <f t="shared" si="286"/>
        <v>3.4707737084647103</v>
      </c>
      <c r="P190" s="178">
        <f t="shared" si="287"/>
        <v>1.5233225806451611</v>
      </c>
      <c r="Q190" s="223">
        <f t="shared" si="288"/>
        <v>0.69415474169294211</v>
      </c>
      <c r="R190" s="223">
        <f t="shared" si="289"/>
        <v>1.0517496086256699</v>
      </c>
      <c r="S190" s="223">
        <f t="shared" si="290"/>
        <v>4.3384671355808875</v>
      </c>
      <c r="T190" s="223">
        <f t="shared" si="291"/>
        <v>1.5</v>
      </c>
      <c r="U190" s="223">
        <f t="shared" si="292"/>
        <v>3.75</v>
      </c>
      <c r="V190" s="223">
        <f t="shared" si="293"/>
        <v>3.2338269435903877</v>
      </c>
      <c r="W190" s="203">
        <f t="shared" si="294"/>
        <v>350</v>
      </c>
      <c r="X190" s="454">
        <f t="shared" si="295"/>
        <v>143.18796958704417</v>
      </c>
      <c r="Z190" s="223">
        <f t="shared" si="296"/>
        <v>0.61366272680161782</v>
      </c>
      <c r="AA190" s="179">
        <f t="shared" si="297"/>
        <v>1.3229860401388125</v>
      </c>
      <c r="AB190" s="179">
        <f t="shared" si="298"/>
        <v>0.32047390299160194</v>
      </c>
      <c r="AC190" s="179"/>
      <c r="AD190" s="179">
        <f t="shared" si="299"/>
        <v>0.64676538871807754</v>
      </c>
      <c r="AE190" s="563">
        <f t="shared" si="300"/>
        <v>2748.7212655294152</v>
      </c>
      <c r="AF190" s="546">
        <f t="shared" si="301"/>
        <v>0.10186554872309719</v>
      </c>
      <c r="AH190" s="179">
        <f t="shared" si="302"/>
        <v>1.0066445913694333</v>
      </c>
      <c r="AI190" s="179">
        <f t="shared" si="303"/>
        <v>1.5</v>
      </c>
      <c r="AJ190" s="179">
        <f t="shared" si="304"/>
        <v>2.0888888888888886</v>
      </c>
      <c r="AL190" s="563">
        <f t="shared" si="305"/>
        <v>800</v>
      </c>
      <c r="AM190" s="472">
        <f t="shared" si="306"/>
        <v>143.18796958704417</v>
      </c>
      <c r="AO190" t="str">
        <f t="shared" si="307"/>
        <v/>
      </c>
      <c r="AP190" t="str">
        <f t="shared" si="308"/>
        <v/>
      </c>
      <c r="AR190" s="6">
        <f t="shared" si="233"/>
        <v>6.9838269435903877</v>
      </c>
      <c r="AS190" s="6">
        <f t="shared" si="313"/>
        <v>3.75</v>
      </c>
      <c r="AT190" s="6">
        <f t="shared" si="314"/>
        <v>3.2338269435903877</v>
      </c>
      <c r="AU190" s="179">
        <f t="shared" si="315"/>
        <v>0.53695488595141561</v>
      </c>
      <c r="AW190" s="6">
        <f t="shared" si="254"/>
        <v>60</v>
      </c>
      <c r="AX190" s="6">
        <f t="shared" si="255"/>
        <v>45.454545454545453</v>
      </c>
      <c r="AY190" s="6">
        <f t="shared" si="256"/>
        <v>0.99809473567604556</v>
      </c>
      <c r="AZ190" s="6"/>
      <c r="BA190" s="179">
        <f t="shared" si="257"/>
        <v>0.63459921561845767</v>
      </c>
      <c r="BB190" s="179">
        <f t="shared" si="258"/>
        <v>1.7679237879014877</v>
      </c>
      <c r="BC190" s="179">
        <f t="shared" si="259"/>
        <v>0.85891630695547272</v>
      </c>
      <c r="BD190" s="179"/>
      <c r="BE190" s="546">
        <f t="shared" si="260"/>
        <v>0.14095065756224659</v>
      </c>
      <c r="BF190" s="546">
        <f t="shared" si="261"/>
        <v>4.4943123954133482E-2</v>
      </c>
      <c r="BG190" s="546">
        <f t="shared" si="262"/>
        <v>1.789849619838052E-3</v>
      </c>
      <c r="BH190" s="546">
        <f t="shared" si="263"/>
        <v>5.5729473703125532E-3</v>
      </c>
      <c r="BI190">
        <f t="shared" si="264"/>
        <v>3.48E-3</v>
      </c>
      <c r="BK190" s="472">
        <f t="shared" si="265"/>
        <v>196.73657850653069</v>
      </c>
      <c r="BL190" s="179">
        <f t="shared" si="266"/>
        <v>0.32000000000000006</v>
      </c>
      <c r="BM190" s="179">
        <f t="shared" si="267"/>
        <v>0.16000000000000003</v>
      </c>
      <c r="BN190" s="546"/>
      <c r="BP190" s="472">
        <f t="shared" si="268"/>
        <v>480.00000000000011</v>
      </c>
      <c r="BQ190" s="546">
        <f t="shared" si="269"/>
        <v>8.0543232892712355E-2</v>
      </c>
      <c r="BR190" s="546">
        <f t="shared" si="270"/>
        <v>0.12502218079311778</v>
      </c>
      <c r="BS190" s="546">
        <f t="shared" si="271"/>
        <v>7.3773722235402781E-2</v>
      </c>
      <c r="BT190" s="546">
        <f t="shared" si="272"/>
        <v>3.380371869734447E-2</v>
      </c>
      <c r="BU190" s="546"/>
      <c r="BV190" s="655">
        <f t="shared" si="309"/>
        <v>3.2217293157084936E-2</v>
      </c>
      <c r="BW190" s="472">
        <f t="shared" si="273"/>
        <v>345.36014777566231</v>
      </c>
      <c r="BX190" s="179">
        <f t="shared" si="274"/>
        <v>1.0220967262821932</v>
      </c>
      <c r="BY190" s="6">
        <f t="shared" si="275"/>
        <v>4.994096289109871</v>
      </c>
      <c r="BZ190" s="179">
        <f t="shared" si="276"/>
        <v>0.83010905340516494</v>
      </c>
      <c r="CA190" s="6">
        <f t="shared" si="277"/>
        <v>83.010905340516501</v>
      </c>
      <c r="CB190">
        <f t="shared" si="278"/>
        <v>80</v>
      </c>
      <c r="CD190" s="581">
        <f t="shared" si="310"/>
        <v>-50</v>
      </c>
      <c r="CE190">
        <f t="shared" si="311"/>
        <v>-50</v>
      </c>
    </row>
    <row r="191" spans="5:83" x14ac:dyDescent="0.2">
      <c r="E191" s="176">
        <v>81</v>
      </c>
      <c r="F191" s="223">
        <f t="shared" si="312"/>
        <v>0.81</v>
      </c>
      <c r="G191" s="223">
        <f t="shared" si="279"/>
        <v>0.40500000000000003</v>
      </c>
      <c r="H191" s="223">
        <f t="shared" si="280"/>
        <v>4.0500000000000007</v>
      </c>
      <c r="I191" s="223">
        <f t="shared" si="281"/>
        <v>1.3365</v>
      </c>
      <c r="J191" s="559">
        <f t="shared" si="282"/>
        <v>12</v>
      </c>
      <c r="K191" s="454">
        <f t="shared" si="283"/>
        <v>13.754717438758185</v>
      </c>
      <c r="L191" s="454">
        <f t="shared" si="284"/>
        <v>27.9</v>
      </c>
      <c r="M191" s="454"/>
      <c r="N191" s="223">
        <f t="shared" si="285"/>
        <v>0.56989247311827951</v>
      </c>
      <c r="O191" s="178">
        <f t="shared" si="286"/>
        <v>3.4707737084647103</v>
      </c>
      <c r="P191" s="178">
        <f t="shared" si="287"/>
        <v>1.5233225806451611</v>
      </c>
      <c r="Q191" s="223">
        <f t="shared" si="288"/>
        <v>0.69415474169294211</v>
      </c>
      <c r="R191" s="223">
        <f t="shared" si="289"/>
        <v>1.0517496086256699</v>
      </c>
      <c r="S191" s="223">
        <f t="shared" si="290"/>
        <v>4.2849058129193951</v>
      </c>
      <c r="T191" s="223">
        <f t="shared" si="291"/>
        <v>1.5</v>
      </c>
      <c r="U191" s="223">
        <f t="shared" si="292"/>
        <v>3.75</v>
      </c>
      <c r="V191" s="223">
        <f t="shared" si="293"/>
        <v>3.2716048294237248</v>
      </c>
      <c r="W191" s="203">
        <f t="shared" si="294"/>
        <v>350</v>
      </c>
      <c r="X191" s="454">
        <f t="shared" si="295"/>
        <v>142.41758462531874</v>
      </c>
      <c r="Z191" s="223">
        <f t="shared" si="296"/>
        <v>0.61036107696565167</v>
      </c>
      <c r="AA191" s="179">
        <f t="shared" si="297"/>
        <v>1.3312401647287277</v>
      </c>
      <c r="AB191" s="179">
        <f t="shared" si="298"/>
        <v>0.32073836078043072</v>
      </c>
      <c r="AC191" s="179"/>
      <c r="AD191" s="179">
        <f t="shared" si="299"/>
        <v>0.65432096588474498</v>
      </c>
      <c r="AE191" s="563">
        <f t="shared" si="300"/>
        <v>2750.9434877516364</v>
      </c>
      <c r="AF191" s="546">
        <f t="shared" si="301"/>
        <v>0.10305555212684733</v>
      </c>
      <c r="AH191" s="179">
        <f t="shared" si="302"/>
        <v>1.012916580968048</v>
      </c>
      <c r="AI191" s="179">
        <f t="shared" si="303"/>
        <v>1.5</v>
      </c>
      <c r="AJ191" s="179">
        <f t="shared" si="304"/>
        <v>2.0888888888888886</v>
      </c>
      <c r="AL191" s="563">
        <f t="shared" si="305"/>
        <v>810</v>
      </c>
      <c r="AM191" s="472">
        <f t="shared" si="306"/>
        <v>142.41758462531874</v>
      </c>
      <c r="AO191" t="str">
        <f t="shared" si="307"/>
        <v/>
      </c>
      <c r="AP191" t="str">
        <f t="shared" si="308"/>
        <v/>
      </c>
      <c r="AR191" s="6">
        <f t="shared" si="233"/>
        <v>7.0216048294237243</v>
      </c>
      <c r="AS191" s="6">
        <f t="shared" si="313"/>
        <v>3.75</v>
      </c>
      <c r="AT191" s="6">
        <f t="shared" si="314"/>
        <v>3.2716048294237243</v>
      </c>
      <c r="AU191" s="179">
        <f t="shared" si="315"/>
        <v>0.53406594234494531</v>
      </c>
      <c r="AW191" s="6">
        <f t="shared" si="254"/>
        <v>60.75</v>
      </c>
      <c r="AX191" s="6">
        <f t="shared" si="255"/>
        <v>46.022727272727273</v>
      </c>
      <c r="AY191" s="6">
        <f t="shared" si="256"/>
        <v>1.022376509194914</v>
      </c>
      <c r="AZ191" s="6"/>
      <c r="BA191" s="179">
        <f t="shared" si="257"/>
        <v>0.63288976667245067</v>
      </c>
      <c r="BB191" s="179">
        <f t="shared" si="258"/>
        <v>1.773430260588676</v>
      </c>
      <c r="BC191" s="179">
        <f t="shared" si="259"/>
        <v>0.86159153493599838</v>
      </c>
      <c r="BD191" s="179"/>
      <c r="BE191" s="546">
        <f t="shared" si="260"/>
        <v>0.14019230986554818</v>
      </c>
      <c r="BF191" s="546">
        <f t="shared" si="261"/>
        <v>4.4701319374271908E-2</v>
      </c>
      <c r="BG191" s="546">
        <f t="shared" si="262"/>
        <v>1.780219807816484E-3</v>
      </c>
      <c r="BH191" s="546">
        <f t="shared" si="263"/>
        <v>5.5429636024097182E-3</v>
      </c>
      <c r="BI191">
        <f t="shared" si="264"/>
        <v>3.48E-3</v>
      </c>
      <c r="BK191" s="472">
        <f t="shared" si="265"/>
        <v>195.6968126500463</v>
      </c>
      <c r="BL191" s="179">
        <f t="shared" si="266"/>
        <v>0.32400000000000007</v>
      </c>
      <c r="BM191" s="179">
        <f t="shared" si="267"/>
        <v>0.16200000000000003</v>
      </c>
      <c r="BN191" s="546"/>
      <c r="BP191" s="472">
        <f t="shared" si="268"/>
        <v>486.00000000000011</v>
      </c>
      <c r="BQ191" s="546">
        <f t="shared" si="269"/>
        <v>8.0109891351741819E-2</v>
      </c>
      <c r="BR191" s="546">
        <f t="shared" si="270"/>
        <v>0.12580219556686478</v>
      </c>
      <c r="BS191" s="546">
        <f t="shared" si="271"/>
        <v>7.4233997307336971E-2</v>
      </c>
      <c r="BT191" s="546">
        <f t="shared" si="272"/>
        <v>3.3350871867133688E-2</v>
      </c>
      <c r="BU191" s="546"/>
      <c r="BV191" s="655">
        <f t="shared" si="309"/>
        <v>3.2043956540696722E-2</v>
      </c>
      <c r="BW191" s="472">
        <f t="shared" si="273"/>
        <v>345.54091263377393</v>
      </c>
      <c r="BX191" s="179">
        <f t="shared" si="274"/>
        <v>1.0272377252838203</v>
      </c>
      <c r="BY191" s="6">
        <f t="shared" si="275"/>
        <v>4.994096289109871</v>
      </c>
      <c r="BZ191" s="179">
        <f t="shared" si="276"/>
        <v>0.82940030849837254</v>
      </c>
      <c r="CA191" s="6">
        <f t="shared" si="277"/>
        <v>82.940030849837257</v>
      </c>
      <c r="CB191">
        <f t="shared" si="278"/>
        <v>81</v>
      </c>
      <c r="CD191" s="581">
        <f t="shared" si="310"/>
        <v>-50</v>
      </c>
      <c r="CE191">
        <f t="shared" si="311"/>
        <v>-50</v>
      </c>
    </row>
    <row r="192" spans="5:83" x14ac:dyDescent="0.2">
      <c r="E192" s="176">
        <v>82</v>
      </c>
      <c r="F192" s="223">
        <f t="shared" si="312"/>
        <v>0.82</v>
      </c>
      <c r="G192" s="223">
        <f t="shared" si="279"/>
        <v>0.41</v>
      </c>
      <c r="H192" s="223">
        <f t="shared" si="280"/>
        <v>4.0999999999999996</v>
      </c>
      <c r="I192" s="223">
        <f t="shared" si="281"/>
        <v>1.3529999999999998</v>
      </c>
      <c r="J192" s="559">
        <f t="shared" si="282"/>
        <v>12</v>
      </c>
      <c r="K192" s="454">
        <f t="shared" si="283"/>
        <v>13.597952591944063</v>
      </c>
      <c r="L192" s="454">
        <f t="shared" si="284"/>
        <v>27.9</v>
      </c>
      <c r="M192" s="454"/>
      <c r="N192" s="223">
        <f t="shared" si="285"/>
        <v>0.56989247311827951</v>
      </c>
      <c r="O192" s="178">
        <f t="shared" si="286"/>
        <v>3.4707737084647103</v>
      </c>
      <c r="P192" s="178">
        <f t="shared" si="287"/>
        <v>1.5233225806451611</v>
      </c>
      <c r="Q192" s="223">
        <f t="shared" si="288"/>
        <v>0.69415474169294211</v>
      </c>
      <c r="R192" s="223">
        <f t="shared" si="289"/>
        <v>1.0517496086256699</v>
      </c>
      <c r="S192" s="223">
        <f t="shared" si="290"/>
        <v>4.2326508639813545</v>
      </c>
      <c r="T192" s="223">
        <f t="shared" si="291"/>
        <v>1.5</v>
      </c>
      <c r="U192" s="223">
        <f t="shared" si="292"/>
        <v>3.75</v>
      </c>
      <c r="V192" s="223">
        <f t="shared" si="293"/>
        <v>3.3093217302919329</v>
      </c>
      <c r="W192" s="203">
        <f t="shared" si="294"/>
        <v>350</v>
      </c>
      <c r="X192" s="454">
        <f t="shared" si="295"/>
        <v>141.65666875741698</v>
      </c>
      <c r="Z192" s="223">
        <f t="shared" si="296"/>
        <v>0.60710000896035854</v>
      </c>
      <c r="AA192" s="179">
        <f t="shared" si="297"/>
        <v>1.3393928347419612</v>
      </c>
      <c r="AB192" s="179">
        <f t="shared" si="298"/>
        <v>0.32097844814734927</v>
      </c>
      <c r="AC192" s="179"/>
      <c r="AD192" s="179">
        <f t="shared" si="299"/>
        <v>0.66186434605838662</v>
      </c>
      <c r="AE192" s="563">
        <f t="shared" si="300"/>
        <v>2753.1657099738591</v>
      </c>
      <c r="AF192" s="546">
        <f t="shared" si="301"/>
        <v>0.1042436345041959</v>
      </c>
      <c r="AH192" s="179">
        <f t="shared" si="302"/>
        <v>1.0191499726078919</v>
      </c>
      <c r="AI192" s="179">
        <f t="shared" si="303"/>
        <v>1.5</v>
      </c>
      <c r="AJ192" s="179">
        <f t="shared" si="304"/>
        <v>2.0888888888888886</v>
      </c>
      <c r="AL192" s="563">
        <f t="shared" si="305"/>
        <v>820</v>
      </c>
      <c r="AM192" s="472">
        <f t="shared" si="306"/>
        <v>141.65666875741698</v>
      </c>
      <c r="AO192" t="str">
        <f t="shared" si="307"/>
        <v/>
      </c>
      <c r="AP192" t="str">
        <f t="shared" si="308"/>
        <v/>
      </c>
      <c r="AR192" s="6">
        <f t="shared" si="233"/>
        <v>7.0593217302919324</v>
      </c>
      <c r="AS192" s="6">
        <f t="shared" si="313"/>
        <v>3.75</v>
      </c>
      <c r="AT192" s="6">
        <f t="shared" si="314"/>
        <v>3.3093217302919324</v>
      </c>
      <c r="AU192" s="179">
        <f t="shared" si="315"/>
        <v>0.53121250784031371</v>
      </c>
      <c r="AW192" s="6">
        <f t="shared" si="254"/>
        <v>61.499999999999993</v>
      </c>
      <c r="AX192" s="6">
        <f t="shared" si="255"/>
        <v>46.590909090909086</v>
      </c>
      <c r="AY192" s="6">
        <f t="shared" si="256"/>
        <v>1.0469304856633426</v>
      </c>
      <c r="AZ192" s="6"/>
      <c r="BA192" s="179">
        <f t="shared" si="257"/>
        <v>0.63119678459275697</v>
      </c>
      <c r="BB192" s="179">
        <f t="shared" si="258"/>
        <v>1.7788523187937446</v>
      </c>
      <c r="BC192" s="179">
        <f t="shared" si="259"/>
        <v>0.86422575154729409</v>
      </c>
      <c r="BD192" s="179"/>
      <c r="BE192" s="546">
        <f t="shared" si="260"/>
        <v>0.13944328330808234</v>
      </c>
      <c r="BF192" s="546">
        <f t="shared" si="261"/>
        <v>4.446248690623425E-2</v>
      </c>
      <c r="BG192" s="546">
        <f t="shared" si="262"/>
        <v>1.7707083594677121E-3</v>
      </c>
      <c r="BH192" s="546">
        <f t="shared" si="263"/>
        <v>5.5133483763730477E-3</v>
      </c>
      <c r="BI192">
        <f t="shared" si="264"/>
        <v>3.48E-3</v>
      </c>
      <c r="BK192" s="472">
        <f t="shared" si="265"/>
        <v>194.66982695015736</v>
      </c>
      <c r="BL192" s="179">
        <f t="shared" si="266"/>
        <v>0.32800000000000001</v>
      </c>
      <c r="BM192" s="179">
        <f t="shared" si="267"/>
        <v>0.16400000000000001</v>
      </c>
      <c r="BN192" s="546"/>
      <c r="BP192" s="472">
        <f t="shared" si="268"/>
        <v>492</v>
      </c>
      <c r="BQ192" s="546">
        <f t="shared" si="269"/>
        <v>7.9681876176047051E-2</v>
      </c>
      <c r="BR192" s="546">
        <f t="shared" si="270"/>
        <v>0.1265726228831153</v>
      </c>
      <c r="BS192" s="546">
        <f t="shared" si="271"/>
        <v>7.4688614963748526E-2</v>
      </c>
      <c r="BT192" s="546">
        <f t="shared" si="272"/>
        <v>3.2907183534665763E-2</v>
      </c>
      <c r="BU192" s="546"/>
      <c r="BV192" s="655">
        <f t="shared" si="309"/>
        <v>3.187275047041882E-2</v>
      </c>
      <c r="BW192" s="472">
        <f t="shared" si="273"/>
        <v>345.72304802799545</v>
      </c>
      <c r="BX192" s="179">
        <f t="shared" si="274"/>
        <v>1.032392874978153</v>
      </c>
      <c r="BY192" s="6">
        <f t="shared" si="275"/>
        <v>4.994096289109871</v>
      </c>
      <c r="BZ192" s="179">
        <f t="shared" si="276"/>
        <v>0.82869082696934004</v>
      </c>
      <c r="CA192" s="6">
        <f t="shared" si="277"/>
        <v>82.869082696934001</v>
      </c>
      <c r="CB192">
        <f t="shared" si="278"/>
        <v>82</v>
      </c>
      <c r="CD192" s="581">
        <f t="shared" si="310"/>
        <v>-50</v>
      </c>
      <c r="CE192">
        <f t="shared" si="311"/>
        <v>-50</v>
      </c>
    </row>
    <row r="193" spans="5:83" x14ac:dyDescent="0.2">
      <c r="E193" s="176">
        <v>83</v>
      </c>
      <c r="F193" s="223">
        <f t="shared" si="312"/>
        <v>0.83</v>
      </c>
      <c r="G193" s="223">
        <f t="shared" si="279"/>
        <v>0.41499999999999998</v>
      </c>
      <c r="H193" s="223">
        <f t="shared" si="280"/>
        <v>4.1499999999999995</v>
      </c>
      <c r="I193" s="223">
        <f t="shared" si="281"/>
        <v>1.3694999999999999</v>
      </c>
      <c r="J193" s="559">
        <f t="shared" si="282"/>
        <v>12</v>
      </c>
      <c r="K193" s="454">
        <f t="shared" si="283"/>
        <v>13.44496521131823</v>
      </c>
      <c r="L193" s="454">
        <f t="shared" si="284"/>
        <v>27.9</v>
      </c>
      <c r="M193" s="454"/>
      <c r="N193" s="223">
        <f t="shared" si="285"/>
        <v>0.56989247311827951</v>
      </c>
      <c r="O193" s="178">
        <f t="shared" si="286"/>
        <v>3.4707737084647103</v>
      </c>
      <c r="P193" s="178">
        <f t="shared" si="287"/>
        <v>1.5233225806451611</v>
      </c>
      <c r="Q193" s="223">
        <f t="shared" si="288"/>
        <v>0.69415474169294211</v>
      </c>
      <c r="R193" s="223">
        <f t="shared" si="289"/>
        <v>1.0517496086256699</v>
      </c>
      <c r="S193" s="223">
        <f t="shared" si="290"/>
        <v>4.18165507043941</v>
      </c>
      <c r="T193" s="223">
        <f t="shared" si="291"/>
        <v>1.5</v>
      </c>
      <c r="U193" s="223">
        <f t="shared" si="292"/>
        <v>3.75</v>
      </c>
      <c r="V193" s="223">
        <f t="shared" si="293"/>
        <v>3.3469777937482603</v>
      </c>
      <c r="W193" s="203">
        <f t="shared" si="294"/>
        <v>350</v>
      </c>
      <c r="X193" s="454">
        <f t="shared" si="295"/>
        <v>140.90504846737741</v>
      </c>
      <c r="Z193" s="223">
        <f t="shared" si="296"/>
        <v>0.60387877914590327</v>
      </c>
      <c r="AA193" s="179">
        <f t="shared" si="297"/>
        <v>1.3474459092780986</v>
      </c>
      <c r="AB193" s="179">
        <f t="shared" si="298"/>
        <v>0.32119499631315779</v>
      </c>
      <c r="AC193" s="179"/>
      <c r="AD193" s="179">
        <f t="shared" si="299"/>
        <v>0.66939555874965195</v>
      </c>
      <c r="AE193" s="563">
        <f t="shared" si="300"/>
        <v>2755.3879321960817</v>
      </c>
      <c r="AF193" s="546">
        <f t="shared" si="301"/>
        <v>0.10542980050307019</v>
      </c>
      <c r="AH193" s="179">
        <f t="shared" si="302"/>
        <v>1.0253454702359266</v>
      </c>
      <c r="AI193" s="179">
        <f t="shared" si="303"/>
        <v>1.5</v>
      </c>
      <c r="AJ193" s="179">
        <f t="shared" si="304"/>
        <v>2.0888888888888886</v>
      </c>
      <c r="AL193" s="563">
        <f t="shared" si="305"/>
        <v>830</v>
      </c>
      <c r="AM193" s="472">
        <f t="shared" si="306"/>
        <v>140.90504846737741</v>
      </c>
      <c r="AO193" t="str">
        <f t="shared" si="307"/>
        <v/>
      </c>
      <c r="AP193" t="str">
        <f t="shared" si="308"/>
        <v/>
      </c>
      <c r="AR193" s="6">
        <f t="shared" si="233"/>
        <v>7.0969777937482617</v>
      </c>
      <c r="AS193" s="6">
        <f t="shared" si="313"/>
        <v>3.75</v>
      </c>
      <c r="AT193" s="6">
        <f t="shared" si="314"/>
        <v>3.3469777937482617</v>
      </c>
      <c r="AU193" s="179">
        <f t="shared" si="315"/>
        <v>0.52839393175266525</v>
      </c>
      <c r="AW193" s="6">
        <f t="shared" si="254"/>
        <v>62.25</v>
      </c>
      <c r="AX193" s="6">
        <f t="shared" si="255"/>
        <v>47.159090909090907</v>
      </c>
      <c r="AY193" s="6">
        <f t="shared" si="256"/>
        <v>1.0717560064857472</v>
      </c>
      <c r="AZ193" s="6"/>
      <c r="BA193" s="179">
        <f t="shared" si="257"/>
        <v>0.62952001462582496</v>
      </c>
      <c r="BB193" s="179">
        <f t="shared" si="258"/>
        <v>1.7841919629539613</v>
      </c>
      <c r="BC193" s="179">
        <f t="shared" si="259"/>
        <v>0.86681992866846613</v>
      </c>
      <c r="BD193" s="179"/>
      <c r="BE193" s="546">
        <f t="shared" si="260"/>
        <v>0.13870340708507459</v>
      </c>
      <c r="BF193" s="546">
        <f t="shared" si="261"/>
        <v>4.4226572087698077E-2</v>
      </c>
      <c r="BG193" s="546">
        <f t="shared" si="262"/>
        <v>1.7613131058422176E-3</v>
      </c>
      <c r="BH193" s="546">
        <f t="shared" si="263"/>
        <v>5.4840949388745633E-3</v>
      </c>
      <c r="BI193">
        <f t="shared" si="264"/>
        <v>3.48E-3</v>
      </c>
      <c r="BK193" s="472">
        <f t="shared" si="265"/>
        <v>193.65538721748942</v>
      </c>
      <c r="BL193" s="179">
        <f t="shared" si="266"/>
        <v>0.33200000000000002</v>
      </c>
      <c r="BM193" s="179">
        <f t="shared" si="267"/>
        <v>0.16600000000000001</v>
      </c>
      <c r="BN193" s="546"/>
      <c r="BP193" s="472">
        <f t="shared" si="268"/>
        <v>498</v>
      </c>
      <c r="BQ193" s="546">
        <f t="shared" si="269"/>
        <v>7.9259089762899776E-2</v>
      </c>
      <c r="BR193" s="546">
        <f t="shared" si="270"/>
        <v>0.12733363842678039</v>
      </c>
      <c r="BS193" s="546">
        <f t="shared" si="271"/>
        <v>7.5137678873680475E-2</v>
      </c>
      <c r="BT193" s="546">
        <f t="shared" si="272"/>
        <v>3.2472411072667816E-2</v>
      </c>
      <c r="BU193" s="546"/>
      <c r="BV193" s="655">
        <f t="shared" si="309"/>
        <v>3.170363590515992E-2</v>
      </c>
      <c r="BW193" s="472">
        <f t="shared" ref="BW193:BW210" si="316">SUM(BQ193:BV193)*1000</f>
        <v>345.90645404118828</v>
      </c>
      <c r="BX193" s="179">
        <f t="shared" ref="BX193:BX210" si="317">SUM(BE193:BI193,BL193:BO193,BQ193:BV193)</f>
        <v>1.0375618412586778</v>
      </c>
      <c r="BY193" s="6">
        <f t="shared" ref="BY193:BY210" si="318">MIN(H193+I193,O193+P193)</f>
        <v>4.994096289109871</v>
      </c>
      <c r="BZ193" s="179">
        <f t="shared" ref="BZ193:BZ210" si="319">BY193/(BY193+BX193)</f>
        <v>0.82798066156390726</v>
      </c>
      <c r="CA193" s="6">
        <f t="shared" ref="CA193:CA210" si="320">BZ193*100</f>
        <v>82.798066156390732</v>
      </c>
      <c r="CB193">
        <f t="shared" ref="CB193:CB210" si="321">F193/Iout*100</f>
        <v>83</v>
      </c>
      <c r="CD193" s="581">
        <f t="shared" si="310"/>
        <v>-50</v>
      </c>
      <c r="CE193">
        <f t="shared" si="311"/>
        <v>-50</v>
      </c>
    </row>
    <row r="194" spans="5:83" x14ac:dyDescent="0.2">
      <c r="E194" s="176">
        <v>84</v>
      </c>
      <c r="F194" s="223">
        <f t="shared" si="312"/>
        <v>0.84</v>
      </c>
      <c r="G194" s="223">
        <f t="shared" si="279"/>
        <v>0.42</v>
      </c>
      <c r="H194" s="223">
        <f t="shared" si="280"/>
        <v>4.2</v>
      </c>
      <c r="I194" s="223">
        <f t="shared" si="281"/>
        <v>1.3859999999999999</v>
      </c>
      <c r="J194" s="559">
        <f t="shared" si="282"/>
        <v>12</v>
      </c>
      <c r="K194" s="454">
        <f t="shared" si="283"/>
        <v>13.295620387373965</v>
      </c>
      <c r="L194" s="454">
        <f t="shared" si="284"/>
        <v>27.9</v>
      </c>
      <c r="M194" s="454"/>
      <c r="N194" s="223">
        <f t="shared" si="285"/>
        <v>0.56989247311827951</v>
      </c>
      <c r="O194" s="178">
        <f t="shared" si="286"/>
        <v>3.4707737084647103</v>
      </c>
      <c r="P194" s="178">
        <f t="shared" si="287"/>
        <v>1.5233225806451611</v>
      </c>
      <c r="Q194" s="223">
        <f t="shared" si="288"/>
        <v>0.69415474169294211</v>
      </c>
      <c r="R194" s="223">
        <f t="shared" si="289"/>
        <v>1.0517496086256699</v>
      </c>
      <c r="S194" s="223">
        <f t="shared" si="290"/>
        <v>4.1318734624579889</v>
      </c>
      <c r="T194" s="223">
        <f t="shared" si="291"/>
        <v>1.5</v>
      </c>
      <c r="U194" s="223">
        <f t="shared" si="292"/>
        <v>3.75</v>
      </c>
      <c r="V194" s="223">
        <f t="shared" si="293"/>
        <v>3.3845731668703287</v>
      </c>
      <c r="W194" s="203">
        <f t="shared" si="294"/>
        <v>350</v>
      </c>
      <c r="X194" s="454">
        <f t="shared" si="295"/>
        <v>140.16255445294743</v>
      </c>
      <c r="Z194" s="223">
        <f t="shared" si="296"/>
        <v>0.6006966619412033</v>
      </c>
      <c r="AA194" s="179">
        <f t="shared" si="297"/>
        <v>1.3554012022898489</v>
      </c>
      <c r="AB194" s="179">
        <f t="shared" si="298"/>
        <v>0.32138880702892342</v>
      </c>
      <c r="AC194" s="179"/>
      <c r="AD194" s="179">
        <f t="shared" si="299"/>
        <v>0.67691463337406554</v>
      </c>
      <c r="AE194" s="563">
        <f t="shared" si="300"/>
        <v>2757.6101544183043</v>
      </c>
      <c r="AF194" s="546">
        <f t="shared" si="301"/>
        <v>0.10661405475641532</v>
      </c>
      <c r="AH194" s="179">
        <f t="shared" si="302"/>
        <v>1.0315037566582101</v>
      </c>
      <c r="AI194" s="179">
        <f t="shared" si="303"/>
        <v>1.5</v>
      </c>
      <c r="AJ194" s="179">
        <f t="shared" si="304"/>
        <v>2.0888888888888886</v>
      </c>
      <c r="AL194" s="563">
        <f t="shared" si="305"/>
        <v>840</v>
      </c>
      <c r="AM194" s="472">
        <f t="shared" si="306"/>
        <v>140.16255445294743</v>
      </c>
      <c r="AO194" t="str">
        <f t="shared" si="307"/>
        <v/>
      </c>
      <c r="AP194" t="str">
        <f t="shared" si="308"/>
        <v/>
      </c>
      <c r="AR194" s="6">
        <f t="shared" si="233"/>
        <v>7.1345731668703287</v>
      </c>
      <c r="AS194" s="6">
        <f t="shared" si="313"/>
        <v>3.75</v>
      </c>
      <c r="AT194" s="6">
        <f t="shared" si="314"/>
        <v>3.3845731668703287</v>
      </c>
      <c r="AU194" s="179">
        <f t="shared" si="315"/>
        <v>0.52560957919855289</v>
      </c>
      <c r="AW194" s="6">
        <f t="shared" si="254"/>
        <v>63</v>
      </c>
      <c r="AX194" s="6">
        <f t="shared" si="255"/>
        <v>47.727272727272727</v>
      </c>
      <c r="AY194" s="6">
        <f t="shared" si="256"/>
        <v>1.0968524151894583</v>
      </c>
      <c r="AZ194" s="6"/>
      <c r="BA194" s="179">
        <f t="shared" si="257"/>
        <v>0.62785920746526824</v>
      </c>
      <c r="BB194" s="179">
        <f t="shared" si="258"/>
        <v>1.789451128254071</v>
      </c>
      <c r="BC194" s="179">
        <f t="shared" si="259"/>
        <v>0.86937500647676946</v>
      </c>
      <c r="BD194" s="179"/>
      <c r="BE194" s="546">
        <f t="shared" si="260"/>
        <v>0.13797251453962014</v>
      </c>
      <c r="BF194" s="546">
        <f t="shared" si="261"/>
        <v>4.3993521778918861E-2</v>
      </c>
      <c r="BG194" s="546">
        <f t="shared" si="262"/>
        <v>1.7520319306618428E-3</v>
      </c>
      <c r="BH194" s="546">
        <f t="shared" si="263"/>
        <v>5.4551967005859407E-3</v>
      </c>
      <c r="BI194">
        <f t="shared" si="264"/>
        <v>3.48E-3</v>
      </c>
      <c r="BK194" s="472">
        <f t="shared" si="265"/>
        <v>192.6532649497868</v>
      </c>
      <c r="BL194" s="179">
        <f t="shared" si="266"/>
        <v>0.33600000000000002</v>
      </c>
      <c r="BM194" s="179">
        <f t="shared" si="267"/>
        <v>0.16800000000000001</v>
      </c>
      <c r="BN194" s="546"/>
      <c r="BP194" s="472">
        <f t="shared" si="268"/>
        <v>504</v>
      </c>
      <c r="BQ194" s="546">
        <f t="shared" si="269"/>
        <v>7.8841436879782956E-2</v>
      </c>
      <c r="BR194" s="546">
        <f t="shared" si="270"/>
        <v>0.1280854136163907</v>
      </c>
      <c r="BS194" s="546">
        <f t="shared" si="271"/>
        <v>7.5581290188648301E-2</v>
      </c>
      <c r="BT194" s="546">
        <f t="shared" si="272"/>
        <v>3.2046319752180925E-2</v>
      </c>
      <c r="BU194" s="546"/>
      <c r="BV194" s="655">
        <f t="shared" si="309"/>
        <v>3.1536574751913175E-2</v>
      </c>
      <c r="BW194" s="472">
        <f t="shared" si="316"/>
        <v>346.09103518891607</v>
      </c>
      <c r="BX194" s="179">
        <f t="shared" si="317"/>
        <v>1.0427443001387029</v>
      </c>
      <c r="BY194" s="6">
        <f t="shared" si="318"/>
        <v>4.994096289109871</v>
      </c>
      <c r="BZ194" s="179">
        <f t="shared" si="319"/>
        <v>0.82726986331297225</v>
      </c>
      <c r="CA194" s="6">
        <f t="shared" si="320"/>
        <v>82.726986331297226</v>
      </c>
      <c r="CB194">
        <f t="shared" si="321"/>
        <v>84</v>
      </c>
      <c r="CD194" s="581">
        <f t="shared" si="310"/>
        <v>-50</v>
      </c>
      <c r="CE194">
        <f t="shared" si="311"/>
        <v>-50</v>
      </c>
    </row>
    <row r="195" spans="5:83" x14ac:dyDescent="0.2">
      <c r="E195" s="176">
        <v>85</v>
      </c>
      <c r="F195" s="223">
        <f t="shared" si="312"/>
        <v>0.85</v>
      </c>
      <c r="G195" s="223">
        <f t="shared" si="279"/>
        <v>0.42499999999999999</v>
      </c>
      <c r="H195" s="223">
        <f t="shared" si="280"/>
        <v>4.25</v>
      </c>
      <c r="I195" s="223">
        <f t="shared" si="281"/>
        <v>1.4024999999999999</v>
      </c>
      <c r="J195" s="559">
        <f t="shared" si="282"/>
        <v>12</v>
      </c>
      <c r="K195" s="454">
        <f t="shared" si="283"/>
        <v>13.149789559287212</v>
      </c>
      <c r="L195" s="454">
        <f t="shared" si="284"/>
        <v>27.9</v>
      </c>
      <c r="M195" s="454"/>
      <c r="N195" s="223">
        <f t="shared" si="285"/>
        <v>0.56989247311827951</v>
      </c>
      <c r="O195" s="178">
        <f t="shared" si="286"/>
        <v>3.4707737084647103</v>
      </c>
      <c r="P195" s="178">
        <f t="shared" si="287"/>
        <v>1.5233225806451611</v>
      </c>
      <c r="Q195" s="223">
        <f t="shared" si="288"/>
        <v>0.69415474169294211</v>
      </c>
      <c r="R195" s="223">
        <f t="shared" si="289"/>
        <v>1.0517496086256699</v>
      </c>
      <c r="S195" s="223">
        <f t="shared" si="290"/>
        <v>4.0832631864290709</v>
      </c>
      <c r="T195" s="223">
        <f t="shared" si="291"/>
        <v>1.5</v>
      </c>
      <c r="U195" s="223">
        <f t="shared" si="292"/>
        <v>3.75</v>
      </c>
      <c r="V195" s="223">
        <f t="shared" si="293"/>
        <v>3.4221079962620511</v>
      </c>
      <c r="W195" s="203">
        <f t="shared" si="294"/>
        <v>350</v>
      </c>
      <c r="X195" s="454">
        <f t="shared" si="295"/>
        <v>139.42902149844628</v>
      </c>
      <c r="Z195" s="223">
        <f t="shared" si="296"/>
        <v>0.59755294927905545</v>
      </c>
      <c r="AA195" s="179">
        <f t="shared" si="297"/>
        <v>1.3632604839452183</v>
      </c>
      <c r="AB195" s="179">
        <f t="shared" si="298"/>
        <v>0.32156065374357529</v>
      </c>
      <c r="AC195" s="179"/>
      <c r="AD195" s="179">
        <f t="shared" si="299"/>
        <v>0.6844215992524102</v>
      </c>
      <c r="AE195" s="563">
        <f t="shared" si="300"/>
        <v>2759.8323766405256</v>
      </c>
      <c r="AF195" s="546">
        <f t="shared" si="301"/>
        <v>0.1077964018822546</v>
      </c>
      <c r="AH195" s="179">
        <f t="shared" si="302"/>
        <v>1.0376254944182253</v>
      </c>
      <c r="AI195" s="179">
        <f t="shared" si="303"/>
        <v>1.5</v>
      </c>
      <c r="AJ195" s="179">
        <f t="shared" si="304"/>
        <v>2.0888888888888886</v>
      </c>
      <c r="AL195" s="563">
        <f t="shared" si="305"/>
        <v>850</v>
      </c>
      <c r="AM195" s="472">
        <f t="shared" si="306"/>
        <v>139.42902149844628</v>
      </c>
      <c r="AO195" t="str">
        <f t="shared" si="307"/>
        <v/>
      </c>
      <c r="AP195" t="str">
        <f t="shared" si="308"/>
        <v/>
      </c>
      <c r="AR195" s="6">
        <f t="shared" si="233"/>
        <v>7.172107996262052</v>
      </c>
      <c r="AS195" s="6">
        <f t="shared" si="313"/>
        <v>3.75</v>
      </c>
      <c r="AT195" s="6">
        <f t="shared" si="314"/>
        <v>3.422107996262052</v>
      </c>
      <c r="AU195" s="179">
        <f t="shared" si="315"/>
        <v>0.52285883061917349</v>
      </c>
      <c r="AW195" s="6">
        <f t="shared" si="254"/>
        <v>63.75</v>
      </c>
      <c r="AX195" s="6">
        <f t="shared" si="255"/>
        <v>48.295454545454547</v>
      </c>
      <c r="AY195" s="6">
        <f t="shared" si="256"/>
        <v>1.1222190574161821</v>
      </c>
      <c r="AZ195" s="6"/>
      <c r="BA195" s="179">
        <f t="shared" si="257"/>
        <v>0.62621411910334646</v>
      </c>
      <c r="BB195" s="179">
        <f t="shared" si="258"/>
        <v>1.7946316873722528</v>
      </c>
      <c r="BC195" s="179">
        <f t="shared" si="259"/>
        <v>0.87189189478168605</v>
      </c>
      <c r="BD195" s="179"/>
      <c r="BE195" s="546">
        <f t="shared" si="260"/>
        <v>0.13725044303753306</v>
      </c>
      <c r="BF195" s="546">
        <f t="shared" si="261"/>
        <v>4.3763284122824812E-2</v>
      </c>
      <c r="BG195" s="546">
        <f t="shared" si="262"/>
        <v>1.7428627687305783E-3</v>
      </c>
      <c r="BH195" s="546">
        <f t="shared" si="263"/>
        <v>5.4266472312302786E-3</v>
      </c>
      <c r="BI195">
        <f t="shared" si="264"/>
        <v>3.48E-3</v>
      </c>
      <c r="BK195" s="472">
        <f t="shared" si="265"/>
        <v>191.66323716031877</v>
      </c>
      <c r="BL195" s="179">
        <f t="shared" si="266"/>
        <v>0.34</v>
      </c>
      <c r="BM195" s="179">
        <f t="shared" si="267"/>
        <v>0.17</v>
      </c>
      <c r="BN195" s="546"/>
      <c r="BP195" s="472">
        <f t="shared" si="268"/>
        <v>510</v>
      </c>
      <c r="BQ195" s="546">
        <f t="shared" si="269"/>
        <v>7.8428824592876034E-2</v>
      </c>
      <c r="BR195" s="546">
        <f t="shared" si="270"/>
        <v>0.12882811573282316</v>
      </c>
      <c r="BS195" s="546">
        <f t="shared" si="271"/>
        <v>7.6019547618599873E-2</v>
      </c>
      <c r="BT195" s="546">
        <f t="shared" si="272"/>
        <v>3.162868243862825E-2</v>
      </c>
      <c r="BU195" s="546"/>
      <c r="BV195" s="655">
        <f t="shared" si="309"/>
        <v>3.1371529837150414E-2</v>
      </c>
      <c r="BW195" s="472">
        <f t="shared" si="316"/>
        <v>346.27670022007771</v>
      </c>
      <c r="BX195" s="179">
        <f t="shared" si="317"/>
        <v>1.0479399373803966</v>
      </c>
      <c r="BY195" s="6">
        <f t="shared" si="318"/>
        <v>4.994096289109871</v>
      </c>
      <c r="BZ195" s="179">
        <f t="shared" si="319"/>
        <v>0.82655848159501522</v>
      </c>
      <c r="CA195" s="6">
        <f t="shared" si="320"/>
        <v>82.655848159501517</v>
      </c>
      <c r="CB195">
        <f t="shared" si="321"/>
        <v>85</v>
      </c>
      <c r="CD195" s="581">
        <f t="shared" si="310"/>
        <v>-50</v>
      </c>
      <c r="CE195">
        <f t="shared" si="311"/>
        <v>-50</v>
      </c>
    </row>
    <row r="196" spans="5:83" x14ac:dyDescent="0.2">
      <c r="E196" s="176">
        <v>86</v>
      </c>
      <c r="F196" s="223">
        <f t="shared" si="312"/>
        <v>0.86</v>
      </c>
      <c r="G196" s="223">
        <f t="shared" si="279"/>
        <v>0.43</v>
      </c>
      <c r="H196" s="223">
        <f t="shared" si="280"/>
        <v>4.3</v>
      </c>
      <c r="I196" s="223">
        <f t="shared" si="281"/>
        <v>1.4189999999999998</v>
      </c>
      <c r="J196" s="559">
        <f t="shared" si="282"/>
        <v>12</v>
      </c>
      <c r="K196" s="454">
        <f t="shared" si="283"/>
        <v>13.007350145807131</v>
      </c>
      <c r="L196" s="454">
        <f t="shared" si="284"/>
        <v>27.9</v>
      </c>
      <c r="M196" s="454"/>
      <c r="N196" s="223">
        <f t="shared" si="285"/>
        <v>0.56989247311827951</v>
      </c>
      <c r="O196" s="178">
        <f t="shared" si="286"/>
        <v>3.4707737084647103</v>
      </c>
      <c r="P196" s="178">
        <f t="shared" si="287"/>
        <v>1.5233225806451611</v>
      </c>
      <c r="Q196" s="223">
        <f t="shared" si="288"/>
        <v>0.69415474169294211</v>
      </c>
      <c r="R196" s="223">
        <f t="shared" si="289"/>
        <v>1.0517496086256699</v>
      </c>
      <c r="S196" s="223">
        <f t="shared" si="290"/>
        <v>4.0357833819357101</v>
      </c>
      <c r="T196" s="223">
        <f t="shared" si="291"/>
        <v>1.5</v>
      </c>
      <c r="U196" s="223">
        <f t="shared" si="292"/>
        <v>3.75</v>
      </c>
      <c r="V196" s="223">
        <f t="shared" si="293"/>
        <v>3.4595824280555392</v>
      </c>
      <c r="W196" s="203">
        <f t="shared" si="294"/>
        <v>350</v>
      </c>
      <c r="X196" s="454">
        <f t="shared" si="295"/>
        <v>138.70428835220423</v>
      </c>
      <c r="Z196" s="223">
        <f t="shared" si="296"/>
        <v>0.59444695008087522</v>
      </c>
      <c r="AA196" s="179">
        <f t="shared" si="297"/>
        <v>1.3710254819406693</v>
      </c>
      <c r="AB196" s="179">
        <f t="shared" si="298"/>
        <v>0.32171128271952348</v>
      </c>
      <c r="AC196" s="179"/>
      <c r="AD196" s="179">
        <f t="shared" si="299"/>
        <v>0.69191648561110775</v>
      </c>
      <c r="AE196" s="563">
        <f t="shared" si="300"/>
        <v>2762.0545988627491</v>
      </c>
      <c r="AF196" s="546">
        <f t="shared" si="301"/>
        <v>0.10897684648374946</v>
      </c>
      <c r="AH196" s="179">
        <f t="shared" si="302"/>
        <v>1.04371132662884</v>
      </c>
      <c r="AI196" s="179">
        <f t="shared" si="303"/>
        <v>1.5</v>
      </c>
      <c r="AJ196" s="179">
        <f t="shared" si="304"/>
        <v>2.0888888888888886</v>
      </c>
      <c r="AL196" s="563">
        <f t="shared" si="305"/>
        <v>860</v>
      </c>
      <c r="AM196" s="472">
        <f t="shared" si="306"/>
        <v>138.70428835220423</v>
      </c>
      <c r="AO196" t="str">
        <f t="shared" si="307"/>
        <v/>
      </c>
      <c r="AP196" t="str">
        <f t="shared" si="308"/>
        <v/>
      </c>
      <c r="AR196" s="6">
        <f t="shared" si="233"/>
        <v>7.2095824280555378</v>
      </c>
      <c r="AS196" s="6">
        <f t="shared" si="313"/>
        <v>3.75</v>
      </c>
      <c r="AT196" s="6">
        <f t="shared" si="314"/>
        <v>3.4595824280555378</v>
      </c>
      <c r="AU196" s="179">
        <f t="shared" si="315"/>
        <v>0.52014108132076586</v>
      </c>
      <c r="AW196" s="6">
        <f t="shared" si="254"/>
        <v>64.5</v>
      </c>
      <c r="AX196" s="6">
        <f t="shared" si="255"/>
        <v>48.863636363636367</v>
      </c>
      <c r="AY196" s="6">
        <f t="shared" si="256"/>
        <v>1.1478552809134885</v>
      </c>
      <c r="AZ196" s="6"/>
      <c r="BA196" s="179">
        <f t="shared" si="257"/>
        <v>0.62458451068736442</v>
      </c>
      <c r="BB196" s="179">
        <f t="shared" si="258"/>
        <v>1.7997354530832665</v>
      </c>
      <c r="BC196" s="179">
        <f t="shared" si="259"/>
        <v>0.87437147428962025</v>
      </c>
      <c r="BD196" s="179"/>
      <c r="BE196" s="546">
        <f t="shared" si="260"/>
        <v>0.13653703384670104</v>
      </c>
      <c r="BF196" s="546">
        <f t="shared" si="261"/>
        <v>4.353580850654809E-2</v>
      </c>
      <c r="BG196" s="546">
        <f t="shared" si="262"/>
        <v>1.7338036044025529E-3</v>
      </c>
      <c r="BH196" s="546">
        <f t="shared" si="263"/>
        <v>5.3984402548119641E-3</v>
      </c>
      <c r="BI196">
        <f t="shared" si="264"/>
        <v>3.48E-3</v>
      </c>
      <c r="BK196" s="472">
        <f t="shared" si="265"/>
        <v>190.68508621246366</v>
      </c>
      <c r="BL196" s="179">
        <f t="shared" si="266"/>
        <v>0.34400000000000003</v>
      </c>
      <c r="BM196" s="179">
        <f t="shared" si="267"/>
        <v>0.17200000000000001</v>
      </c>
      <c r="BN196" s="546"/>
      <c r="BP196" s="472">
        <f t="shared" si="268"/>
        <v>516</v>
      </c>
      <c r="BQ196" s="546">
        <f t="shared" si="269"/>
        <v>7.8021162198114891E-2</v>
      </c>
      <c r="BR196" s="546">
        <f t="shared" si="270"/>
        <v>0.12956190804339324</v>
      </c>
      <c r="BS196" s="546">
        <f t="shared" si="271"/>
        <v>7.6452547505140411E-2</v>
      </c>
      <c r="BT196" s="546">
        <f t="shared" si="272"/>
        <v>3.1219279301348768E-2</v>
      </c>
      <c r="BU196" s="546"/>
      <c r="BV196" s="655">
        <f t="shared" si="309"/>
        <v>3.1208464879245956E-2</v>
      </c>
      <c r="BW196" s="472">
        <f t="shared" si="316"/>
        <v>346.46336192724323</v>
      </c>
      <c r="BX196" s="179">
        <f t="shared" si="317"/>
        <v>1.0531484481397069</v>
      </c>
      <c r="BY196" s="6">
        <f t="shared" si="318"/>
        <v>4.994096289109871</v>
      </c>
      <c r="BZ196" s="179">
        <f t="shared" si="319"/>
        <v>0.82584656419599412</v>
      </c>
      <c r="CA196" s="6">
        <f t="shared" si="320"/>
        <v>82.584656419599412</v>
      </c>
      <c r="CB196">
        <f t="shared" si="321"/>
        <v>86</v>
      </c>
      <c r="CD196" s="581">
        <f t="shared" si="310"/>
        <v>-50</v>
      </c>
      <c r="CE196">
        <f t="shared" si="311"/>
        <v>-50</v>
      </c>
    </row>
    <row r="197" spans="5:83" x14ac:dyDescent="0.2">
      <c r="E197" s="176">
        <v>87</v>
      </c>
      <c r="F197" s="223">
        <f t="shared" si="312"/>
        <v>0.87</v>
      </c>
      <c r="G197" s="223">
        <f t="shared" si="279"/>
        <v>0.435</v>
      </c>
      <c r="H197" s="223">
        <f t="shared" si="280"/>
        <v>4.3499999999999996</v>
      </c>
      <c r="I197" s="223">
        <f t="shared" si="281"/>
        <v>1.4355</v>
      </c>
      <c r="J197" s="559">
        <f t="shared" si="282"/>
        <v>12</v>
      </c>
      <c r="K197" s="454">
        <f t="shared" si="283"/>
        <v>12.868185201602449</v>
      </c>
      <c r="L197" s="454">
        <f t="shared" si="284"/>
        <v>27.9</v>
      </c>
      <c r="M197" s="454"/>
      <c r="N197" s="223">
        <f t="shared" si="285"/>
        <v>0.56989247311827951</v>
      </c>
      <c r="O197" s="178">
        <f t="shared" si="286"/>
        <v>3.4707737084647103</v>
      </c>
      <c r="P197" s="178">
        <f t="shared" si="287"/>
        <v>1.5233225806451611</v>
      </c>
      <c r="Q197" s="223">
        <f t="shared" si="288"/>
        <v>0.69415474169294211</v>
      </c>
      <c r="R197" s="223">
        <f t="shared" si="289"/>
        <v>1.0517496086256699</v>
      </c>
      <c r="S197" s="223">
        <f t="shared" si="290"/>
        <v>3.9893950672008165</v>
      </c>
      <c r="T197" s="223">
        <f t="shared" si="291"/>
        <v>1.5</v>
      </c>
      <c r="U197" s="223">
        <f t="shared" si="292"/>
        <v>3.75</v>
      </c>
      <c r="V197" s="223">
        <f t="shared" si="293"/>
        <v>3.4969966079129979</v>
      </c>
      <c r="W197" s="203">
        <f t="shared" si="294"/>
        <v>350</v>
      </c>
      <c r="X197" s="454">
        <f t="shared" si="295"/>
        <v>137.98819760838578</v>
      </c>
      <c r="Z197" s="223">
        <f t="shared" si="296"/>
        <v>0.5913779897502246</v>
      </c>
      <c r="AA197" s="179">
        <f t="shared" si="297"/>
        <v>1.3786978827672953</v>
      </c>
      <c r="AB197" s="179">
        <f t="shared" si="298"/>
        <v>0.3218414140988739</v>
      </c>
      <c r="AC197" s="179"/>
      <c r="AD197" s="179">
        <f t="shared" si="299"/>
        <v>0.69939932158259954</v>
      </c>
      <c r="AE197" s="563">
        <f t="shared" si="300"/>
        <v>2764.2768210849713</v>
      </c>
      <c r="AF197" s="546">
        <f t="shared" si="301"/>
        <v>0.11015539314925941</v>
      </c>
      <c r="AH197" s="179">
        <f t="shared" si="302"/>
        <v>1.0497618777608566</v>
      </c>
      <c r="AI197" s="179">
        <f t="shared" si="303"/>
        <v>1.5</v>
      </c>
      <c r="AJ197" s="179">
        <f t="shared" si="304"/>
        <v>2.0888888888888886</v>
      </c>
      <c r="AL197" s="563">
        <f t="shared" si="305"/>
        <v>870</v>
      </c>
      <c r="AM197" s="472">
        <f t="shared" si="306"/>
        <v>137.98819760838578</v>
      </c>
      <c r="AO197" t="str">
        <f t="shared" si="307"/>
        <v/>
      </c>
      <c r="AP197" t="str">
        <f t="shared" si="308"/>
        <v/>
      </c>
      <c r="AR197" s="6">
        <f t="shared" si="233"/>
        <v>7.2469966079129966</v>
      </c>
      <c r="AS197" s="6">
        <f t="shared" si="313"/>
        <v>3.75</v>
      </c>
      <c r="AT197" s="6">
        <f t="shared" si="314"/>
        <v>3.4969966079129966</v>
      </c>
      <c r="AU197" s="179">
        <f t="shared" si="315"/>
        <v>0.51745574103144665</v>
      </c>
      <c r="AW197" s="6">
        <f t="shared" si="254"/>
        <v>65.25</v>
      </c>
      <c r="AX197" s="6">
        <f t="shared" si="255"/>
        <v>49.431818181818187</v>
      </c>
      <c r="AY197" s="6">
        <f t="shared" si="256"/>
        <v>1.1737604355263527</v>
      </c>
      <c r="AZ197" s="6"/>
      <c r="BA197" s="179">
        <f t="shared" si="257"/>
        <v>0.62297014838079123</v>
      </c>
      <c r="BB197" s="179">
        <f t="shared" si="258"/>
        <v>1.8047641807277024</v>
      </c>
      <c r="BC197" s="179">
        <f t="shared" si="259"/>
        <v>0.87681459780354187</v>
      </c>
      <c r="BD197" s="179"/>
      <c r="BE197" s="546">
        <f t="shared" si="260"/>
        <v>0.13583213202075475</v>
      </c>
      <c r="BF197" s="546">
        <f t="shared" si="261"/>
        <v>4.331104552433207E-2</v>
      </c>
      <c r="BG197" s="546">
        <f t="shared" si="262"/>
        <v>1.7248524701048223E-3</v>
      </c>
      <c r="BH197" s="546">
        <f t="shared" si="263"/>
        <v>5.3705696450171781E-3</v>
      </c>
      <c r="BI197">
        <f t="shared" si="264"/>
        <v>3.48E-3</v>
      </c>
      <c r="BK197" s="472">
        <f t="shared" si="265"/>
        <v>189.71859966020881</v>
      </c>
      <c r="BL197" s="179">
        <f t="shared" si="266"/>
        <v>0.34800000000000003</v>
      </c>
      <c r="BM197" s="179">
        <f t="shared" si="267"/>
        <v>0.17400000000000002</v>
      </c>
      <c r="BN197" s="546"/>
      <c r="BP197" s="472">
        <f t="shared" si="268"/>
        <v>522</v>
      </c>
      <c r="BQ197" s="546">
        <f t="shared" si="269"/>
        <v>7.7618361154717014E-2</v>
      </c>
      <c r="BR197" s="546">
        <f t="shared" si="270"/>
        <v>0.13028694992150938</v>
      </c>
      <c r="BS197" s="546">
        <f t="shared" si="271"/>
        <v>7.6880383892138693E-2</v>
      </c>
      <c r="BT197" s="546">
        <f t="shared" si="272"/>
        <v>3.0817897535921766E-2</v>
      </c>
      <c r="BU197" s="546"/>
      <c r="BV197" s="655">
        <f t="shared" si="309"/>
        <v>3.1047344461886797E-2</v>
      </c>
      <c r="BW197" s="472">
        <f t="shared" si="316"/>
        <v>346.65093696617367</v>
      </c>
      <c r="BX197" s="179">
        <f t="shared" si="317"/>
        <v>1.0583695366263826</v>
      </c>
      <c r="BY197" s="6">
        <f t="shared" si="318"/>
        <v>4.994096289109871</v>
      </c>
      <c r="BZ197" s="179">
        <f t="shared" si="319"/>
        <v>0.82513415736673956</v>
      </c>
      <c r="CA197" s="6">
        <f t="shared" si="320"/>
        <v>82.513415736673963</v>
      </c>
      <c r="CB197">
        <f t="shared" si="321"/>
        <v>87</v>
      </c>
      <c r="CD197" s="581">
        <f t="shared" si="310"/>
        <v>-50</v>
      </c>
      <c r="CE197">
        <f t="shared" si="311"/>
        <v>-50</v>
      </c>
    </row>
    <row r="198" spans="5:83" x14ac:dyDescent="0.2">
      <c r="E198" s="176">
        <v>88</v>
      </c>
      <c r="F198" s="223">
        <f t="shared" si="312"/>
        <v>0.88</v>
      </c>
      <c r="G198" s="223">
        <f t="shared" si="279"/>
        <v>0.44</v>
      </c>
      <c r="H198" s="223">
        <f t="shared" si="280"/>
        <v>4.4000000000000004</v>
      </c>
      <c r="I198" s="223">
        <f t="shared" si="281"/>
        <v>1.452</v>
      </c>
      <c r="J198" s="559">
        <f t="shared" si="282"/>
        <v>12</v>
      </c>
      <c r="K198" s="454">
        <f t="shared" si="283"/>
        <v>12.732183097038785</v>
      </c>
      <c r="L198" s="454">
        <f t="shared" si="284"/>
        <v>27.9</v>
      </c>
      <c r="M198" s="454"/>
      <c r="N198" s="223">
        <f t="shared" si="285"/>
        <v>0.56989247311827951</v>
      </c>
      <c r="O198" s="178">
        <f t="shared" si="286"/>
        <v>3.4707737084647103</v>
      </c>
      <c r="P198" s="178">
        <f t="shared" si="287"/>
        <v>1.5233225806451611</v>
      </c>
      <c r="Q198" s="223">
        <f t="shared" si="288"/>
        <v>0.69415474169294211</v>
      </c>
      <c r="R198" s="223">
        <f t="shared" si="289"/>
        <v>1.0517496086256699</v>
      </c>
      <c r="S198" s="223">
        <f t="shared" si="290"/>
        <v>3.9440610323462617</v>
      </c>
      <c r="T198" s="223">
        <f t="shared" si="291"/>
        <v>1.5</v>
      </c>
      <c r="U198" s="223">
        <f t="shared" si="292"/>
        <v>3.75</v>
      </c>
      <c r="V198" s="223">
        <f t="shared" si="293"/>
        <v>3.5343506810286112</v>
      </c>
      <c r="W198" s="203">
        <f t="shared" si="294"/>
        <v>350</v>
      </c>
      <c r="X198" s="454">
        <f t="shared" si="295"/>
        <v>137.28059559301607</v>
      </c>
      <c r="Z198" s="223">
        <f t="shared" si="296"/>
        <v>0.58834540968435467</v>
      </c>
      <c r="AA198" s="179">
        <f t="shared" si="297"/>
        <v>1.3862793329319707</v>
      </c>
      <c r="AB198" s="179">
        <f t="shared" si="298"/>
        <v>0.32195174292268985</v>
      </c>
      <c r="AC198" s="179"/>
      <c r="AD198" s="179">
        <f t="shared" si="299"/>
        <v>0.70687013620572225</v>
      </c>
      <c r="AE198" s="563">
        <f t="shared" si="300"/>
        <v>2766.499043307193</v>
      </c>
      <c r="AF198" s="546">
        <f t="shared" si="301"/>
        <v>0.11133204645240125</v>
      </c>
      <c r="AH198" s="179">
        <f t="shared" si="302"/>
        <v>1.0557777543908882</v>
      </c>
      <c r="AI198" s="179">
        <f t="shared" si="303"/>
        <v>1.5</v>
      </c>
      <c r="AJ198" s="179">
        <f t="shared" si="304"/>
        <v>2.0888888888888886</v>
      </c>
      <c r="AL198" s="563">
        <f t="shared" si="305"/>
        <v>880</v>
      </c>
      <c r="AM198" s="472">
        <f t="shared" si="306"/>
        <v>137.28059559301607</v>
      </c>
      <c r="AO198" t="str">
        <f t="shared" si="307"/>
        <v/>
      </c>
      <c r="AP198" t="str">
        <f t="shared" si="308"/>
        <v/>
      </c>
      <c r="AR198" s="6">
        <f t="shared" ref="AR198:AR262" si="322">1/AM198*1000</f>
        <v>7.2843506810286112</v>
      </c>
      <c r="AS198" s="6">
        <f t="shared" si="313"/>
        <v>3.75</v>
      </c>
      <c r="AT198" s="6">
        <f t="shared" si="314"/>
        <v>3.5343506810286112</v>
      </c>
      <c r="AU198" s="179">
        <f t="shared" si="315"/>
        <v>0.51480223347381027</v>
      </c>
      <c r="AW198" s="6">
        <f t="shared" si="254"/>
        <v>66</v>
      </c>
      <c r="AX198" s="6">
        <f t="shared" si="255"/>
        <v>49.999999999999993</v>
      </c>
      <c r="AY198" s="6">
        <f t="shared" si="256"/>
        <v>1.1999338731887259</v>
      </c>
      <c r="AZ198" s="6"/>
      <c r="BA198" s="179">
        <f t="shared" si="257"/>
        <v>0.62137080322892357</v>
      </c>
      <c r="BB198" s="179">
        <f t="shared" si="258"/>
        <v>1.8097195705555547</v>
      </c>
      <c r="BC198" s="179">
        <f t="shared" si="259"/>
        <v>0.87922209136157359</v>
      </c>
      <c r="BD198" s="179"/>
      <c r="BE198" s="546">
        <f t="shared" si="260"/>
        <v>0.13513558628687516</v>
      </c>
      <c r="BF198" s="546">
        <f t="shared" si="261"/>
        <v>4.3088946941757911E-2</v>
      </c>
      <c r="BG198" s="546">
        <f t="shared" si="262"/>
        <v>1.7160074449127009E-3</v>
      </c>
      <c r="BH198" s="546">
        <f t="shared" si="263"/>
        <v>5.3430294207779819E-3</v>
      </c>
      <c r="BI198">
        <f t="shared" si="264"/>
        <v>3.48E-3</v>
      </c>
      <c r="BK198" s="472">
        <f t="shared" si="265"/>
        <v>188.7635700943238</v>
      </c>
      <c r="BL198" s="179">
        <f t="shared" si="266"/>
        <v>0.35200000000000004</v>
      </c>
      <c r="BM198" s="179">
        <f t="shared" si="267"/>
        <v>0.17600000000000002</v>
      </c>
      <c r="BN198" s="546"/>
      <c r="BP198" s="472">
        <f t="shared" si="268"/>
        <v>528</v>
      </c>
      <c r="BQ198" s="546">
        <f t="shared" si="269"/>
        <v>7.7220335021071534E-2</v>
      </c>
      <c r="BR198" s="546">
        <f t="shared" si="270"/>
        <v>0.13100339696207125</v>
      </c>
      <c r="BS198" s="546">
        <f t="shared" si="271"/>
        <v>7.7303148593821924E-2</v>
      </c>
      <c r="BT198" s="546">
        <f t="shared" si="272"/>
        <v>3.0424331098647381E-2</v>
      </c>
      <c r="BU198" s="546"/>
      <c r="BV198" s="655">
        <f t="shared" si="309"/>
        <v>3.088813400842862E-2</v>
      </c>
      <c r="BW198" s="472">
        <f t="shared" si="316"/>
        <v>346.83934568404072</v>
      </c>
      <c r="BX198" s="179">
        <f t="shared" si="317"/>
        <v>1.0636029157783646</v>
      </c>
      <c r="BY198" s="6">
        <f t="shared" si="318"/>
        <v>4.994096289109871</v>
      </c>
      <c r="BZ198" s="179">
        <f t="shared" si="319"/>
        <v>0.82442130587796525</v>
      </c>
      <c r="CA198" s="6">
        <f t="shared" si="320"/>
        <v>82.442130587796527</v>
      </c>
      <c r="CB198">
        <f t="shared" si="321"/>
        <v>88</v>
      </c>
      <c r="CD198" s="581">
        <f t="shared" si="310"/>
        <v>-50</v>
      </c>
      <c r="CE198">
        <f t="shared" si="311"/>
        <v>-50</v>
      </c>
    </row>
    <row r="199" spans="5:83" x14ac:dyDescent="0.2">
      <c r="E199" s="176">
        <v>89</v>
      </c>
      <c r="F199" s="223">
        <f t="shared" si="312"/>
        <v>0.89</v>
      </c>
      <c r="G199" s="223">
        <f t="shared" si="279"/>
        <v>0.44500000000000001</v>
      </c>
      <c r="H199" s="223">
        <f t="shared" si="280"/>
        <v>4.45</v>
      </c>
      <c r="I199" s="223">
        <f t="shared" si="281"/>
        <v>1.4684999999999999</v>
      </c>
      <c r="J199" s="559">
        <f t="shared" si="282"/>
        <v>12</v>
      </c>
      <c r="K199" s="454">
        <f t="shared" si="283"/>
        <v>12.599237219543967</v>
      </c>
      <c r="L199" s="454">
        <f t="shared" si="284"/>
        <v>27.9</v>
      </c>
      <c r="M199" s="454"/>
      <c r="N199" s="223">
        <f t="shared" si="285"/>
        <v>0.56989247311827951</v>
      </c>
      <c r="O199" s="178">
        <f t="shared" si="286"/>
        <v>3.4707737084647103</v>
      </c>
      <c r="P199" s="178">
        <f t="shared" si="287"/>
        <v>1.5233225806451611</v>
      </c>
      <c r="Q199" s="223">
        <f t="shared" si="288"/>
        <v>0.69415474169294211</v>
      </c>
      <c r="R199" s="223">
        <f t="shared" si="289"/>
        <v>1.0517496086256699</v>
      </c>
      <c r="S199" s="223">
        <f t="shared" si="290"/>
        <v>3.8997457398479889</v>
      </c>
      <c r="T199" s="223">
        <f t="shared" si="291"/>
        <v>1.5</v>
      </c>
      <c r="U199" s="223">
        <f t="shared" si="292"/>
        <v>3.75</v>
      </c>
      <c r="V199" s="223">
        <f t="shared" si="293"/>
        <v>3.5716447921304226</v>
      </c>
      <c r="W199" s="203">
        <f t="shared" si="294"/>
        <v>350</v>
      </c>
      <c r="X199" s="454">
        <f t="shared" si="295"/>
        <v>136.58133225403631</v>
      </c>
      <c r="Z199" s="223">
        <f t="shared" si="296"/>
        <v>0.58534856680301273</v>
      </c>
      <c r="AA199" s="179">
        <f t="shared" si="297"/>
        <v>1.3937714401353247</v>
      </c>
      <c r="AB199" s="179">
        <f t="shared" si="298"/>
        <v>0.32204294010559864</v>
      </c>
      <c r="AC199" s="179"/>
      <c r="AD199" s="179">
        <f t="shared" si="299"/>
        <v>0.71432895842608457</v>
      </c>
      <c r="AE199" s="563">
        <f t="shared" si="300"/>
        <v>2768.7212655294156</v>
      </c>
      <c r="AF199" s="546">
        <f t="shared" si="301"/>
        <v>0.11250681095210831</v>
      </c>
      <c r="AH199" s="179">
        <f t="shared" si="302"/>
        <v>1.0617595459110944</v>
      </c>
      <c r="AI199" s="179">
        <f t="shared" si="303"/>
        <v>1.5</v>
      </c>
      <c r="AJ199" s="179">
        <f t="shared" si="304"/>
        <v>2.0888888888888886</v>
      </c>
      <c r="AL199" s="563">
        <f t="shared" si="305"/>
        <v>890</v>
      </c>
      <c r="AM199" s="472">
        <f t="shared" si="306"/>
        <v>136.58133225403631</v>
      </c>
      <c r="AO199" t="str">
        <f t="shared" si="307"/>
        <v/>
      </c>
      <c r="AP199" t="str">
        <f t="shared" si="308"/>
        <v/>
      </c>
      <c r="AR199" s="6">
        <f t="shared" si="322"/>
        <v>7.3216447921304235</v>
      </c>
      <c r="AS199" s="6">
        <f t="shared" si="313"/>
        <v>3.75</v>
      </c>
      <c r="AT199" s="6">
        <f t="shared" si="314"/>
        <v>3.5716447921304235</v>
      </c>
      <c r="AU199" s="179">
        <f t="shared" si="315"/>
        <v>0.51217999595263619</v>
      </c>
      <c r="AW199" s="6">
        <f t="shared" si="254"/>
        <v>66.75</v>
      </c>
      <c r="AX199" s="6">
        <f t="shared" si="255"/>
        <v>50.56818181818182</v>
      </c>
      <c r="AY199" s="6">
        <f t="shared" si="256"/>
        <v>1.2263749479151529</v>
      </c>
      <c r="AZ199" s="6"/>
      <c r="BA199" s="179">
        <f t="shared" si="257"/>
        <v>0.61978625102891494</v>
      </c>
      <c r="BB199" s="179">
        <f t="shared" si="258"/>
        <v>1.8146032699517836</v>
      </c>
      <c r="BC199" s="179">
        <f t="shared" si="259"/>
        <v>0.8815947553182415</v>
      </c>
      <c r="BD199" s="179"/>
      <c r="BE199" s="546">
        <f t="shared" si="260"/>
        <v>0.13444724893756699</v>
      </c>
      <c r="BF199" s="546">
        <f t="shared" si="261"/>
        <v>4.2869465661235631E-2</v>
      </c>
      <c r="BG199" s="546">
        <f t="shared" si="262"/>
        <v>1.7072666531754539E-3</v>
      </c>
      <c r="BH199" s="546">
        <f t="shared" si="263"/>
        <v>5.3158137419932203E-3</v>
      </c>
      <c r="BI199">
        <f t="shared" si="264"/>
        <v>3.48E-3</v>
      </c>
      <c r="BK199" s="472">
        <f t="shared" si="265"/>
        <v>187.81979499397127</v>
      </c>
      <c r="BL199" s="179">
        <f t="shared" si="266"/>
        <v>0.35600000000000004</v>
      </c>
      <c r="BM199" s="179">
        <f t="shared" si="267"/>
        <v>0.17800000000000002</v>
      </c>
      <c r="BN199" s="546"/>
      <c r="BP199" s="472">
        <f t="shared" si="268"/>
        <v>534</v>
      </c>
      <c r="BQ199" s="546">
        <f t="shared" si="269"/>
        <v>7.6826999392895445E-2</v>
      </c>
      <c r="BR199" s="546">
        <f t="shared" si="270"/>
        <v>0.13171140109278823</v>
      </c>
      <c r="BS199" s="546">
        <f t="shared" si="271"/>
        <v>7.7720931260463019E-2</v>
      </c>
      <c r="BT199" s="546">
        <f t="shared" si="272"/>
        <v>3.0038380452580761E-2</v>
      </c>
      <c r="BU199" s="546"/>
      <c r="BV199" s="655">
        <f t="shared" si="309"/>
        <v>3.0730799757158176E-2</v>
      </c>
      <c r="BW199" s="472">
        <f t="shared" si="316"/>
        <v>347.02851195588568</v>
      </c>
      <c r="BX199" s="179">
        <f t="shared" si="317"/>
        <v>1.0688483069498571</v>
      </c>
      <c r="BY199" s="6">
        <f t="shared" si="318"/>
        <v>4.994096289109871</v>
      </c>
      <c r="BZ199" s="179">
        <f t="shared" si="319"/>
        <v>0.82370805307300765</v>
      </c>
      <c r="CA199" s="6">
        <f t="shared" si="320"/>
        <v>82.37080530730077</v>
      </c>
      <c r="CB199">
        <f t="shared" si="321"/>
        <v>89</v>
      </c>
      <c r="CD199" s="581">
        <f t="shared" si="310"/>
        <v>-50</v>
      </c>
      <c r="CE199">
        <f t="shared" si="311"/>
        <v>-50</v>
      </c>
    </row>
    <row r="200" spans="5:83" x14ac:dyDescent="0.2">
      <c r="E200" s="176">
        <v>90</v>
      </c>
      <c r="F200" s="223">
        <f t="shared" si="312"/>
        <v>0.9</v>
      </c>
      <c r="G200" s="223">
        <f t="shared" si="279"/>
        <v>0.45</v>
      </c>
      <c r="H200" s="223">
        <f t="shared" si="280"/>
        <v>4.5</v>
      </c>
      <c r="I200" s="223">
        <f t="shared" si="281"/>
        <v>1.4849999999999999</v>
      </c>
      <c r="J200" s="559">
        <f t="shared" si="282"/>
        <v>12</v>
      </c>
      <c r="K200" s="454">
        <f t="shared" si="283"/>
        <v>12.469245694882368</v>
      </c>
      <c r="L200" s="454">
        <f t="shared" si="284"/>
        <v>27.9</v>
      </c>
      <c r="M200" s="454"/>
      <c r="N200" s="223">
        <f t="shared" si="285"/>
        <v>0.56989247311827951</v>
      </c>
      <c r="O200" s="178">
        <f t="shared" si="286"/>
        <v>3.4707737084647103</v>
      </c>
      <c r="P200" s="178">
        <f t="shared" si="287"/>
        <v>1.5233225806451611</v>
      </c>
      <c r="Q200" s="223">
        <f t="shared" si="288"/>
        <v>0.69415474169294211</v>
      </c>
      <c r="R200" s="223">
        <f t="shared" si="289"/>
        <v>1.0517496086256699</v>
      </c>
      <c r="S200" s="223">
        <f t="shared" si="290"/>
        <v>3.856415231627456</v>
      </c>
      <c r="T200" s="223">
        <f t="shared" si="291"/>
        <v>1.5</v>
      </c>
      <c r="U200" s="223">
        <f t="shared" si="292"/>
        <v>3.75</v>
      </c>
      <c r="V200" s="223">
        <f t="shared" si="293"/>
        <v>3.6088790854822053</v>
      </c>
      <c r="W200" s="203">
        <f t="shared" si="294"/>
        <v>350</v>
      </c>
      <c r="X200" s="454">
        <f t="shared" si="295"/>
        <v>135.89026105522333</v>
      </c>
      <c r="Z200" s="223">
        <f t="shared" si="296"/>
        <v>0.58238683309381423</v>
      </c>
      <c r="AA200" s="179">
        <f t="shared" si="297"/>
        <v>1.4011757744083213</v>
      </c>
      <c r="AB200" s="179">
        <f t="shared" si="298"/>
        <v>0.32211565336793485</v>
      </c>
      <c r="AC200" s="179"/>
      <c r="AD200" s="179">
        <f t="shared" si="299"/>
        <v>0.72177581709644101</v>
      </c>
      <c r="AE200" s="563">
        <f t="shared" si="300"/>
        <v>2770.9434877516369</v>
      </c>
      <c r="AF200" s="546">
        <f t="shared" si="301"/>
        <v>0.11367969119268946</v>
      </c>
      <c r="AH200" s="179">
        <f t="shared" si="302"/>
        <v>1.0677078252031311</v>
      </c>
      <c r="AI200" s="179">
        <f t="shared" si="303"/>
        <v>1.5</v>
      </c>
      <c r="AJ200" s="179">
        <f t="shared" si="304"/>
        <v>2.0888888888888886</v>
      </c>
      <c r="AL200" s="563">
        <f t="shared" si="305"/>
        <v>900</v>
      </c>
      <c r="AM200" s="472">
        <f t="shared" si="306"/>
        <v>135.89026105522333</v>
      </c>
      <c r="AO200" t="str">
        <f t="shared" si="307"/>
        <v/>
      </c>
      <c r="AP200" t="str">
        <f t="shared" si="308"/>
        <v/>
      </c>
      <c r="AR200" s="6">
        <f t="shared" si="322"/>
        <v>7.3588790854822053</v>
      </c>
      <c r="AS200" s="6">
        <f t="shared" si="313"/>
        <v>3.75</v>
      </c>
      <c r="AT200" s="6">
        <f t="shared" si="314"/>
        <v>3.6088790854822053</v>
      </c>
      <c r="AU200" s="179">
        <f t="shared" si="315"/>
        <v>0.50958847895708748</v>
      </c>
      <c r="AW200" s="6">
        <f t="shared" si="254"/>
        <v>67.5</v>
      </c>
      <c r="AX200" s="6">
        <f t="shared" si="255"/>
        <v>51.13636363636364</v>
      </c>
      <c r="AY200" s="6">
        <f t="shared" si="256"/>
        <v>1.2530830157924322</v>
      </c>
      <c r="AZ200" s="6"/>
      <c r="BA200" s="179">
        <f t="shared" si="257"/>
        <v>0.61821627220400432</v>
      </c>
      <c r="BB200" s="179">
        <f t="shared" si="258"/>
        <v>1.8194168755509716</v>
      </c>
      <c r="BC200" s="179">
        <f t="shared" si="259"/>
        <v>0.88393336537184697</v>
      </c>
      <c r="BD200" s="179"/>
      <c r="BE200" s="546">
        <f t="shared" si="260"/>
        <v>0.13376697572623544</v>
      </c>
      <c r="BF200" s="546">
        <f t="shared" si="261"/>
        <v>4.2652555688708217E-2</v>
      </c>
      <c r="BG200" s="546">
        <f t="shared" si="262"/>
        <v>1.6986282631902916E-3</v>
      </c>
      <c r="BH200" s="546">
        <f t="shared" si="263"/>
        <v>5.2889169053998196E-3</v>
      </c>
      <c r="BI200">
        <f t="shared" si="264"/>
        <v>3.48E-3</v>
      </c>
      <c r="BK200" s="472">
        <f t="shared" si="265"/>
        <v>186.88707658353377</v>
      </c>
      <c r="BL200" s="179">
        <f t="shared" si="266"/>
        <v>0.36000000000000004</v>
      </c>
      <c r="BM200" s="179">
        <f t="shared" si="267"/>
        <v>0.18000000000000002</v>
      </c>
      <c r="BN200" s="546"/>
      <c r="BP200" s="472">
        <f t="shared" si="268"/>
        <v>540</v>
      </c>
      <c r="BQ200" s="546">
        <f t="shared" si="269"/>
        <v>7.643827184356311E-2</v>
      </c>
      <c r="BR200" s="546">
        <f t="shared" si="270"/>
        <v>0.1324111106815864</v>
      </c>
      <c r="BS200" s="546">
        <f t="shared" si="271"/>
        <v>7.8133819441759914E-2</v>
      </c>
      <c r="BT200" s="546">
        <f t="shared" si="272"/>
        <v>2.965985232455293E-2</v>
      </c>
      <c r="BU200" s="546"/>
      <c r="BV200" s="655">
        <f t="shared" si="309"/>
        <v>3.0575308737425252E-2</v>
      </c>
      <c r="BW200" s="472">
        <f t="shared" si="316"/>
        <v>347.21836302888761</v>
      </c>
      <c r="BX200" s="179">
        <f t="shared" si="317"/>
        <v>1.0741054396124217</v>
      </c>
      <c r="BY200" s="6">
        <f t="shared" si="318"/>
        <v>4.994096289109871</v>
      </c>
      <c r="BZ200" s="179">
        <f t="shared" si="319"/>
        <v>0.82299444091839991</v>
      </c>
      <c r="CA200" s="6">
        <f t="shared" si="320"/>
        <v>82.299444091839987</v>
      </c>
      <c r="CB200">
        <f t="shared" si="321"/>
        <v>90</v>
      </c>
      <c r="CD200" s="581">
        <f t="shared" si="310"/>
        <v>-50</v>
      </c>
      <c r="CE200">
        <f t="shared" si="311"/>
        <v>-50</v>
      </c>
    </row>
    <row r="201" spans="5:83" x14ac:dyDescent="0.2">
      <c r="E201" s="176">
        <v>91</v>
      </c>
      <c r="F201" s="223">
        <f t="shared" si="312"/>
        <v>0.91</v>
      </c>
      <c r="G201" s="223">
        <f t="shared" si="279"/>
        <v>0.45500000000000002</v>
      </c>
      <c r="H201" s="223">
        <f t="shared" si="280"/>
        <v>4.55</v>
      </c>
      <c r="I201" s="223">
        <f t="shared" si="281"/>
        <v>1.5015000000000001</v>
      </c>
      <c r="J201" s="559">
        <f t="shared" si="282"/>
        <v>12</v>
      </c>
      <c r="K201" s="454">
        <f t="shared" si="283"/>
        <v>12.342111126806738</v>
      </c>
      <c r="L201" s="454">
        <f t="shared" si="284"/>
        <v>27.9</v>
      </c>
      <c r="M201" s="454"/>
      <c r="N201" s="223">
        <f t="shared" si="285"/>
        <v>0.56989247311827951</v>
      </c>
      <c r="O201" s="178">
        <f t="shared" si="286"/>
        <v>3.4707737084647103</v>
      </c>
      <c r="P201" s="178">
        <f t="shared" si="287"/>
        <v>1.5233225806451611</v>
      </c>
      <c r="Q201" s="223">
        <f t="shared" si="288"/>
        <v>0.69415474169294211</v>
      </c>
      <c r="R201" s="223">
        <f t="shared" si="289"/>
        <v>1.0517496086256699</v>
      </c>
      <c r="S201" s="223">
        <f t="shared" si="290"/>
        <v>3.8140370422689123</v>
      </c>
      <c r="T201" s="223">
        <f t="shared" si="291"/>
        <v>1.5</v>
      </c>
      <c r="U201" s="223">
        <f t="shared" si="292"/>
        <v>3.75</v>
      </c>
      <c r="V201" s="223">
        <f t="shared" si="293"/>
        <v>3.646053704885317</v>
      </c>
      <c r="W201" s="203">
        <f t="shared" si="294"/>
        <v>350</v>
      </c>
      <c r="X201" s="454">
        <f t="shared" si="295"/>
        <v>135.2072388738159</v>
      </c>
      <c r="Z201" s="223">
        <f t="shared" si="296"/>
        <v>0.57945959517349666</v>
      </c>
      <c r="AA201" s="179">
        <f t="shared" si="297"/>
        <v>1.4084938692091156</v>
      </c>
      <c r="AB201" s="179">
        <f t="shared" si="298"/>
        <v>0.32217050812747339</v>
      </c>
      <c r="AC201" s="179"/>
      <c r="AD201" s="179">
        <f t="shared" si="299"/>
        <v>0.7292107409770634</v>
      </c>
      <c r="AE201" s="563">
        <f t="shared" si="300"/>
        <v>2773.1657099738595</v>
      </c>
      <c r="AF201" s="546">
        <f t="shared" si="301"/>
        <v>0.11485069170388748</v>
      </c>
      <c r="AH201" s="179">
        <f t="shared" si="302"/>
        <v>1.0736231492784918</v>
      </c>
      <c r="AI201" s="179">
        <f t="shared" si="303"/>
        <v>1.5</v>
      </c>
      <c r="AJ201" s="179">
        <f t="shared" si="304"/>
        <v>2.0888888888888886</v>
      </c>
      <c r="AL201" s="563">
        <f t="shared" si="305"/>
        <v>910</v>
      </c>
      <c r="AM201" s="472">
        <f t="shared" si="306"/>
        <v>135.2072388738159</v>
      </c>
      <c r="AO201" t="str">
        <f t="shared" si="307"/>
        <v/>
      </c>
      <c r="AP201" t="str">
        <f t="shared" si="308"/>
        <v/>
      </c>
      <c r="AR201" s="6">
        <f t="shared" si="322"/>
        <v>7.3960537048853165</v>
      </c>
      <c r="AS201" s="6">
        <f t="shared" si="313"/>
        <v>3.75</v>
      </c>
      <c r="AT201" s="6">
        <f t="shared" si="314"/>
        <v>3.6460537048853165</v>
      </c>
      <c r="AU201" s="179">
        <f t="shared" si="315"/>
        <v>0.50702714577680963</v>
      </c>
      <c r="AW201" s="6">
        <f t="shared" si="254"/>
        <v>68.25</v>
      </c>
      <c r="AX201" s="6">
        <f t="shared" si="255"/>
        <v>51.704545454545453</v>
      </c>
      <c r="AY201" s="6">
        <f t="shared" si="256"/>
        <v>1.2800574349713107</v>
      </c>
      <c r="AZ201" s="6"/>
      <c r="BA201" s="179">
        <f t="shared" si="257"/>
        <v>0.61666065168178785</v>
      </c>
      <c r="BB201" s="179">
        <f t="shared" si="258"/>
        <v>1.8241619352476728</v>
      </c>
      <c r="BC201" s="179">
        <f t="shared" si="259"/>
        <v>0.88623867354116093</v>
      </c>
      <c r="BD201" s="179"/>
      <c r="BE201" s="546">
        <f t="shared" si="260"/>
        <v>0.13309462576641254</v>
      </c>
      <c r="BF201" s="546">
        <f t="shared" si="261"/>
        <v>4.2438172101518956E-2</v>
      </c>
      <c r="BG201" s="546">
        <f t="shared" si="262"/>
        <v>1.6900904859226986E-3</v>
      </c>
      <c r="BH201" s="546">
        <f t="shared" si="263"/>
        <v>5.262333340588351E-3</v>
      </c>
      <c r="BI201">
        <f t="shared" si="264"/>
        <v>3.48E-3</v>
      </c>
      <c r="BK201" s="472">
        <f t="shared" si="265"/>
        <v>185.96522169444253</v>
      </c>
      <c r="BL201" s="179">
        <f t="shared" si="266"/>
        <v>0.36400000000000005</v>
      </c>
      <c r="BM201" s="179">
        <f t="shared" si="267"/>
        <v>0.18200000000000002</v>
      </c>
      <c r="BN201" s="546"/>
      <c r="BP201" s="472">
        <f t="shared" si="268"/>
        <v>546</v>
      </c>
      <c r="BQ201" s="546">
        <f t="shared" si="269"/>
        <v>7.6054071866521467E-2</v>
      </c>
      <c r="BR201" s="546">
        <f t="shared" si="270"/>
        <v>0.13310267064026138</v>
      </c>
      <c r="BS201" s="546">
        <f t="shared" si="271"/>
        <v>7.8541898647999653E-2</v>
      </c>
      <c r="BT201" s="546">
        <f t="shared" si="272"/>
        <v>2.9288559472640287E-2</v>
      </c>
      <c r="BU201" s="546"/>
      <c r="BV201" s="655">
        <f t="shared" si="309"/>
        <v>3.042162874660858E-2</v>
      </c>
      <c r="BW201" s="472">
        <f t="shared" si="316"/>
        <v>347.40882937403137</v>
      </c>
      <c r="BX201" s="179">
        <f t="shared" si="317"/>
        <v>1.0793740510684739</v>
      </c>
      <c r="BY201" s="6">
        <f t="shared" si="318"/>
        <v>4.994096289109871</v>
      </c>
      <c r="BZ201" s="179">
        <f t="shared" si="319"/>
        <v>0.82228051005238334</v>
      </c>
      <c r="CA201" s="6">
        <f t="shared" si="320"/>
        <v>82.228051005238328</v>
      </c>
      <c r="CB201">
        <f t="shared" si="321"/>
        <v>91</v>
      </c>
      <c r="CD201" s="581">
        <f t="shared" si="310"/>
        <v>-50</v>
      </c>
      <c r="CE201">
        <f t="shared" si="311"/>
        <v>-50</v>
      </c>
    </row>
    <row r="202" spans="5:83" x14ac:dyDescent="0.2">
      <c r="E202" s="176">
        <v>92</v>
      </c>
      <c r="F202" s="223">
        <f t="shared" si="312"/>
        <v>0.92</v>
      </c>
      <c r="G202" s="223">
        <f t="shared" si="279"/>
        <v>0.46</v>
      </c>
      <c r="H202" s="223">
        <f t="shared" si="280"/>
        <v>4.6000000000000005</v>
      </c>
      <c r="I202" s="223">
        <f t="shared" si="281"/>
        <v>1.518</v>
      </c>
      <c r="J202" s="559">
        <f t="shared" si="282"/>
        <v>12</v>
      </c>
      <c r="K202" s="454">
        <f t="shared" si="283"/>
        <v>12.217740353689273</v>
      </c>
      <c r="L202" s="454">
        <f t="shared" si="284"/>
        <v>27.9</v>
      </c>
      <c r="M202" s="454"/>
      <c r="N202" s="223">
        <f t="shared" si="285"/>
        <v>0.56989247311827951</v>
      </c>
      <c r="O202" s="178">
        <f t="shared" si="286"/>
        <v>3.4707737084647103</v>
      </c>
      <c r="P202" s="178">
        <f t="shared" si="287"/>
        <v>1.5233225806451611</v>
      </c>
      <c r="Q202" s="223">
        <f t="shared" si="288"/>
        <v>0.69415474169294211</v>
      </c>
      <c r="R202" s="223">
        <f t="shared" si="289"/>
        <v>1.0517496086256699</v>
      </c>
      <c r="S202" s="223">
        <f t="shared" si="290"/>
        <v>3.7725801178964242</v>
      </c>
      <c r="T202" s="223">
        <f t="shared" si="291"/>
        <v>1.5</v>
      </c>
      <c r="U202" s="223">
        <f t="shared" si="292"/>
        <v>3.75</v>
      </c>
      <c r="V202" s="223">
        <f t="shared" si="293"/>
        <v>3.6831687936805588</v>
      </c>
      <c r="W202" s="203">
        <f t="shared" si="294"/>
        <v>350</v>
      </c>
      <c r="X202" s="454">
        <f t="shared" si="295"/>
        <v>134.53212590169724</v>
      </c>
      <c r="Z202" s="223">
        <f t="shared" si="296"/>
        <v>0.57656625386441673</v>
      </c>
      <c r="AA202" s="179">
        <f t="shared" si="297"/>
        <v>1.4157272224818149</v>
      </c>
      <c r="AB202" s="179">
        <f t="shared" si="298"/>
        <v>0.32220810835271668</v>
      </c>
      <c r="AC202" s="179"/>
      <c r="AD202" s="179">
        <f t="shared" si="299"/>
        <v>0.73663375873611181</v>
      </c>
      <c r="AE202" s="563">
        <f t="shared" si="300"/>
        <v>2775.3879321960817</v>
      </c>
      <c r="AF202" s="546">
        <f t="shared" si="301"/>
        <v>0.11601981700093761</v>
      </c>
      <c r="AH202" s="179">
        <f t="shared" si="302"/>
        <v>1.0795060598872677</v>
      </c>
      <c r="AI202" s="179">
        <f t="shared" si="303"/>
        <v>1.5</v>
      </c>
      <c r="AJ202" s="179">
        <f t="shared" si="304"/>
        <v>2.0888888888888886</v>
      </c>
      <c r="AL202" s="563">
        <f t="shared" si="305"/>
        <v>920</v>
      </c>
      <c r="AM202" s="472">
        <f t="shared" si="306"/>
        <v>134.53212590169724</v>
      </c>
      <c r="AO202" t="str">
        <f t="shared" si="307"/>
        <v/>
      </c>
      <c r="AP202" t="str">
        <f t="shared" si="308"/>
        <v/>
      </c>
      <c r="AR202" s="6">
        <f t="shared" si="322"/>
        <v>7.4331687936805588</v>
      </c>
      <c r="AS202" s="6">
        <f t="shared" si="313"/>
        <v>3.75</v>
      </c>
      <c r="AT202" s="6">
        <f t="shared" si="314"/>
        <v>3.6831687936805588</v>
      </c>
      <c r="AU202" s="179">
        <f t="shared" si="315"/>
        <v>0.5044954721313647</v>
      </c>
      <c r="AW202" s="6">
        <f t="shared" si="254"/>
        <v>69</v>
      </c>
      <c r="AX202" s="6">
        <f t="shared" si="255"/>
        <v>52.272727272727273</v>
      </c>
      <c r="AY202" s="6">
        <f t="shared" si="256"/>
        <v>1.3072975656582231</v>
      </c>
      <c r="AZ202" s="6"/>
      <c r="BA202" s="179">
        <f t="shared" si="257"/>
        <v>0.61511917877637623</v>
      </c>
      <c r="BB202" s="179">
        <f t="shared" si="258"/>
        <v>1.828839950108617</v>
      </c>
      <c r="BC202" s="179">
        <f t="shared" si="259"/>
        <v>0.88851140909443627</v>
      </c>
      <c r="BD202" s="179"/>
      <c r="BE202" s="546">
        <f t="shared" si="260"/>
        <v>0.13243006143448321</v>
      </c>
      <c r="BF202" s="546">
        <f t="shared" si="261"/>
        <v>4.2226271017395213E-2</v>
      </c>
      <c r="BG202" s="546">
        <f t="shared" si="262"/>
        <v>1.6816515737712154E-3</v>
      </c>
      <c r="BH202" s="546">
        <f t="shared" si="263"/>
        <v>5.236057606157008E-3</v>
      </c>
      <c r="BI202">
        <f t="shared" si="264"/>
        <v>3.48E-3</v>
      </c>
      <c r="BK202" s="472">
        <f t="shared" si="265"/>
        <v>185.05404163180663</v>
      </c>
      <c r="BL202" s="179">
        <f t="shared" si="266"/>
        <v>0.36800000000000005</v>
      </c>
      <c r="BM202" s="179">
        <f t="shared" si="267"/>
        <v>0.18400000000000002</v>
      </c>
      <c r="BN202" s="546"/>
      <c r="BP202" s="472">
        <f t="shared" si="268"/>
        <v>552</v>
      </c>
      <c r="BQ202" s="546">
        <f t="shared" si="269"/>
        <v>7.567432081970471E-2</v>
      </c>
      <c r="BR202" s="546">
        <f t="shared" si="270"/>
        <v>0.13378622252453157</v>
      </c>
      <c r="BS202" s="546">
        <f t="shared" si="271"/>
        <v>7.8945252409098068E-2</v>
      </c>
      <c r="BT202" s="546">
        <f t="shared" si="272"/>
        <v>2.8924320463576878E-2</v>
      </c>
      <c r="BU202" s="546"/>
      <c r="BV202" s="655">
        <f t="shared" si="309"/>
        <v>3.0269728327881884E-2</v>
      </c>
      <c r="BW202" s="472">
        <f t="shared" si="316"/>
        <v>347.59984454479314</v>
      </c>
      <c r="BX202" s="179">
        <f t="shared" si="317"/>
        <v>1.0846538861766</v>
      </c>
      <c r="BY202" s="6">
        <f t="shared" si="318"/>
        <v>4.994096289109871</v>
      </c>
      <c r="BZ202" s="179">
        <f t="shared" si="319"/>
        <v>0.8215662998314478</v>
      </c>
      <c r="CA202" s="6">
        <f t="shared" si="320"/>
        <v>82.156629983144782</v>
      </c>
      <c r="CB202">
        <f t="shared" si="321"/>
        <v>92</v>
      </c>
      <c r="CD202" s="581">
        <f t="shared" si="310"/>
        <v>-50</v>
      </c>
      <c r="CE202">
        <f t="shared" si="311"/>
        <v>-50</v>
      </c>
    </row>
    <row r="203" spans="5:83" x14ac:dyDescent="0.2">
      <c r="E203" s="176">
        <v>93</v>
      </c>
      <c r="F203" s="223">
        <f t="shared" si="312"/>
        <v>0.93</v>
      </c>
      <c r="G203" s="223">
        <f t="shared" si="279"/>
        <v>0.46500000000000002</v>
      </c>
      <c r="H203" s="223">
        <f t="shared" si="280"/>
        <v>4.6500000000000004</v>
      </c>
      <c r="I203" s="223">
        <f t="shared" si="281"/>
        <v>1.5345</v>
      </c>
      <c r="J203" s="559">
        <f t="shared" si="282"/>
        <v>12</v>
      </c>
      <c r="K203" s="454">
        <f t="shared" si="283"/>
        <v>12.096044220853905</v>
      </c>
      <c r="L203" s="454">
        <f t="shared" si="284"/>
        <v>27.9</v>
      </c>
      <c r="M203" s="454"/>
      <c r="N203" s="223">
        <f t="shared" si="285"/>
        <v>0.56989247311827951</v>
      </c>
      <c r="O203" s="178">
        <f t="shared" si="286"/>
        <v>3.4707737084647103</v>
      </c>
      <c r="P203" s="178">
        <f t="shared" si="287"/>
        <v>1.5233225806451611</v>
      </c>
      <c r="Q203" s="223">
        <f t="shared" si="288"/>
        <v>0.69415474169294211</v>
      </c>
      <c r="R203" s="223">
        <f t="shared" si="289"/>
        <v>1.0517496086256699</v>
      </c>
      <c r="S203" s="223">
        <f t="shared" si="290"/>
        <v>3.7320147402846344</v>
      </c>
      <c r="T203" s="223">
        <f t="shared" si="291"/>
        <v>1.5</v>
      </c>
      <c r="U203" s="223">
        <f t="shared" si="292"/>
        <v>3.75</v>
      </c>
      <c r="V203" s="223">
        <f t="shared" si="293"/>
        <v>3.7202244947500107</v>
      </c>
      <c r="W203" s="203">
        <f t="shared" si="294"/>
        <v>350</v>
      </c>
      <c r="X203" s="454">
        <f t="shared" si="295"/>
        <v>133.86478554999098</v>
      </c>
      <c r="Z203" s="223">
        <f t="shared" si="296"/>
        <v>0.57370622378567571</v>
      </c>
      <c r="AA203" s="179">
        <f t="shared" si="297"/>
        <v>1.4228772976786679</v>
      </c>
      <c r="AB203" s="179">
        <f t="shared" si="298"/>
        <v>0.32222903737957709</v>
      </c>
      <c r="AC203" s="179"/>
      <c r="AD203" s="179">
        <f t="shared" si="299"/>
        <v>0.74404489895000214</v>
      </c>
      <c r="AE203" s="563">
        <f t="shared" si="300"/>
        <v>2777.6101544183043</v>
      </c>
      <c r="AF203" s="546">
        <f t="shared" si="301"/>
        <v>0.11718707158462531</v>
      </c>
      <c r="AH203" s="179">
        <f t="shared" si="302"/>
        <v>1.0853570840972109</v>
      </c>
      <c r="AI203" s="179">
        <f t="shared" si="303"/>
        <v>1.5</v>
      </c>
      <c r="AJ203" s="179">
        <f t="shared" si="304"/>
        <v>2.0888888888888886</v>
      </c>
      <c r="AL203" s="563">
        <f t="shared" si="305"/>
        <v>930</v>
      </c>
      <c r="AM203" s="472">
        <f t="shared" si="306"/>
        <v>133.86478554999098</v>
      </c>
      <c r="AO203" t="str">
        <f t="shared" si="307"/>
        <v/>
      </c>
      <c r="AP203" t="str">
        <f t="shared" si="308"/>
        <v/>
      </c>
      <c r="AR203" s="6">
        <f t="shared" si="322"/>
        <v>7.4702244947500107</v>
      </c>
      <c r="AS203" s="6">
        <f t="shared" si="313"/>
        <v>3.75</v>
      </c>
      <c r="AT203" s="6">
        <f t="shared" si="314"/>
        <v>3.7202244947500107</v>
      </c>
      <c r="AU203" s="179">
        <f t="shared" si="315"/>
        <v>0.50199294581246623</v>
      </c>
      <c r="AW203" s="6">
        <f t="shared" si="254"/>
        <v>69.75</v>
      </c>
      <c r="AX203" s="6">
        <f t="shared" si="255"/>
        <v>52.840909090909101</v>
      </c>
      <c r="AY203" s="6">
        <f t="shared" si="256"/>
        <v>1.3348027701070639</v>
      </c>
      <c r="AZ203" s="6"/>
      <c r="BA203" s="179">
        <f t="shared" si="257"/>
        <v>0.61359164707429781</v>
      </c>
      <c r="BB203" s="179">
        <f t="shared" si="258"/>
        <v>1.8334523761924804</v>
      </c>
      <c r="BC203" s="179">
        <f t="shared" si="259"/>
        <v>0.89075227943351332</v>
      </c>
      <c r="BD203" s="179"/>
      <c r="BE203" s="546">
        <f t="shared" si="260"/>
        <v>0.13177314827577236</v>
      </c>
      <c r="BF203" s="546">
        <f t="shared" si="261"/>
        <v>4.2016809564503405E-2</v>
      </c>
      <c r="BG203" s="546">
        <f t="shared" si="262"/>
        <v>1.6733098193748872E-3</v>
      </c>
      <c r="BH203" s="546">
        <f t="shared" si="263"/>
        <v>5.2100843859984236E-3</v>
      </c>
      <c r="BI203">
        <f t="shared" si="264"/>
        <v>3.48E-3</v>
      </c>
      <c r="BK203" s="472">
        <f t="shared" si="265"/>
        <v>184.15335204564909</v>
      </c>
      <c r="BL203" s="179">
        <f t="shared" si="266"/>
        <v>0.37200000000000005</v>
      </c>
      <c r="BM203" s="179">
        <f t="shared" si="267"/>
        <v>0.18600000000000003</v>
      </c>
      <c r="BN203" s="546"/>
      <c r="BP203" s="472">
        <f t="shared" si="268"/>
        <v>558</v>
      </c>
      <c r="BQ203" s="546">
        <f t="shared" si="269"/>
        <v>7.5298941871869932E-2</v>
      </c>
      <c r="BR203" s="546">
        <f t="shared" si="270"/>
        <v>0.13446190463063409</v>
      </c>
      <c r="BS203" s="546">
        <f t="shared" si="271"/>
        <v>7.9343962331599988E-2</v>
      </c>
      <c r="BT203" s="546">
        <f t="shared" si="272"/>
        <v>2.8566959459627499E-2</v>
      </c>
      <c r="BU203" s="546"/>
      <c r="BV203" s="655">
        <f t="shared" si="309"/>
        <v>3.0119576748747972E-2</v>
      </c>
      <c r="BW203" s="472">
        <f t="shared" si="316"/>
        <v>347.79134504247958</v>
      </c>
      <c r="BX203" s="179">
        <f t="shared" si="317"/>
        <v>1.0899446970881286</v>
      </c>
      <c r="BY203" s="6">
        <f t="shared" si="318"/>
        <v>4.994096289109871</v>
      </c>
      <c r="BZ203" s="179">
        <f t="shared" si="319"/>
        <v>0.82085184837499758</v>
      </c>
      <c r="CA203" s="6">
        <f t="shared" si="320"/>
        <v>82.085184837499753</v>
      </c>
      <c r="CB203">
        <f t="shared" si="321"/>
        <v>93</v>
      </c>
      <c r="CD203" s="581">
        <f t="shared" si="310"/>
        <v>-50</v>
      </c>
      <c r="CE203">
        <f t="shared" si="311"/>
        <v>-50</v>
      </c>
    </row>
    <row r="204" spans="5:83" x14ac:dyDescent="0.2">
      <c r="E204" s="176">
        <v>94</v>
      </c>
      <c r="F204" s="223">
        <f t="shared" si="312"/>
        <v>0.94</v>
      </c>
      <c r="G204" s="223">
        <f t="shared" si="279"/>
        <v>0.47</v>
      </c>
      <c r="H204" s="223">
        <f t="shared" si="280"/>
        <v>4.6999999999999993</v>
      </c>
      <c r="I204" s="223">
        <f t="shared" si="281"/>
        <v>1.5509999999999999</v>
      </c>
      <c r="J204" s="559">
        <f t="shared" si="282"/>
        <v>12</v>
      </c>
      <c r="K204" s="454">
        <f t="shared" si="283"/>
        <v>11.976937367440565</v>
      </c>
      <c r="L204" s="454">
        <f t="shared" si="284"/>
        <v>27.9</v>
      </c>
      <c r="M204" s="454"/>
      <c r="N204" s="223">
        <f t="shared" si="285"/>
        <v>0.56989247311827951</v>
      </c>
      <c r="O204" s="178">
        <f t="shared" si="286"/>
        <v>3.4707737084647103</v>
      </c>
      <c r="P204" s="178">
        <f t="shared" si="287"/>
        <v>1.5233225806451611</v>
      </c>
      <c r="Q204" s="223">
        <f t="shared" si="288"/>
        <v>0.69415474169294211</v>
      </c>
      <c r="R204" s="223">
        <f t="shared" si="289"/>
        <v>1.0517496086256699</v>
      </c>
      <c r="S204" s="223">
        <f t="shared" si="290"/>
        <v>3.6923124558135219</v>
      </c>
      <c r="T204" s="223">
        <f t="shared" si="291"/>
        <v>1.5</v>
      </c>
      <c r="U204" s="223">
        <f t="shared" si="292"/>
        <v>3.75</v>
      </c>
      <c r="V204" s="223">
        <f t="shared" si="293"/>
        <v>3.7572209505188692</v>
      </c>
      <c r="W204" s="203">
        <f t="shared" si="294"/>
        <v>350</v>
      </c>
      <c r="X204" s="454">
        <f t="shared" si="295"/>
        <v>133.2050843569329</v>
      </c>
      <c r="Z204" s="223">
        <f t="shared" si="296"/>
        <v>0.57087893295828396</v>
      </c>
      <c r="AA204" s="179">
        <f t="shared" si="297"/>
        <v>1.4299455247471475</v>
      </c>
      <c r="AB204" s="179">
        <f t="shared" si="298"/>
        <v>0.3222338586932072</v>
      </c>
      <c r="AC204" s="179"/>
      <c r="AD204" s="179">
        <f t="shared" si="299"/>
        <v>0.75144419010377383</v>
      </c>
      <c r="AE204" s="563">
        <f t="shared" si="300"/>
        <v>2779.8323766405256</v>
      </c>
      <c r="AF204" s="546">
        <f t="shared" si="301"/>
        <v>0.11835245994134438</v>
      </c>
      <c r="AH204" s="179">
        <f t="shared" si="302"/>
        <v>1.0911767348448493</v>
      </c>
      <c r="AI204" s="179">
        <f t="shared" si="303"/>
        <v>1.5</v>
      </c>
      <c r="AJ204" s="179">
        <f t="shared" si="304"/>
        <v>2.0888888888888886</v>
      </c>
      <c r="AL204" s="563">
        <f t="shared" si="305"/>
        <v>940</v>
      </c>
      <c r="AM204" s="472">
        <f t="shared" si="306"/>
        <v>133.2050843569329</v>
      </c>
      <c r="AO204" t="str">
        <f t="shared" si="307"/>
        <v/>
      </c>
      <c r="AP204" t="str">
        <f t="shared" si="308"/>
        <v/>
      </c>
      <c r="AR204" s="6">
        <f t="shared" si="322"/>
        <v>7.5072209505188692</v>
      </c>
      <c r="AS204" s="6">
        <f t="shared" si="313"/>
        <v>3.75</v>
      </c>
      <c r="AT204" s="6">
        <f t="shared" si="314"/>
        <v>3.7572209505188692</v>
      </c>
      <c r="AU204" s="179">
        <f t="shared" si="315"/>
        <v>0.49951906633849841</v>
      </c>
      <c r="AW204" s="6">
        <f t="shared" si="254"/>
        <v>70.5</v>
      </c>
      <c r="AX204" s="6">
        <f t="shared" si="255"/>
        <v>53.409090909090907</v>
      </c>
      <c r="AY204" s="6">
        <f t="shared" si="256"/>
        <v>1.3625724126110093</v>
      </c>
      <c r="AZ204" s="6"/>
      <c r="BA204" s="179">
        <f t="shared" si="257"/>
        <v>0.61207785432400175</v>
      </c>
      <c r="BB204" s="179">
        <f t="shared" si="258"/>
        <v>1.8380006262825743</v>
      </c>
      <c r="BC204" s="179">
        <f t="shared" si="259"/>
        <v>0.89296197093561724</v>
      </c>
      <c r="BD204" s="179"/>
      <c r="BE204" s="546">
        <f t="shared" si="260"/>
        <v>0.13112375491385586</v>
      </c>
      <c r="BF204" s="546">
        <f t="shared" si="261"/>
        <v>4.1809745852532304E-2</v>
      </c>
      <c r="BG204" s="546">
        <f t="shared" si="262"/>
        <v>1.6650635544616613E-3</v>
      </c>
      <c r="BH204" s="546">
        <f t="shared" si="263"/>
        <v>5.1844084857140069E-3</v>
      </c>
      <c r="BI204">
        <f t="shared" si="264"/>
        <v>3.48E-3</v>
      </c>
      <c r="BK204" s="472">
        <f t="shared" si="265"/>
        <v>183.26297280656385</v>
      </c>
      <c r="BL204" s="179">
        <f t="shared" si="266"/>
        <v>0.376</v>
      </c>
      <c r="BM204" s="179">
        <f t="shared" si="267"/>
        <v>0.188</v>
      </c>
      <c r="BN204" s="546"/>
      <c r="BP204" s="472">
        <f t="shared" si="268"/>
        <v>564</v>
      </c>
      <c r="BQ204" s="546">
        <f t="shared" si="269"/>
        <v>7.4927859950774778E-2</v>
      </c>
      <c r="BR204" s="546">
        <f t="shared" si="270"/>
        <v>0.13512985208860542</v>
      </c>
      <c r="BS204" s="546">
        <f t="shared" si="271"/>
        <v>7.9738108153722217E-2</v>
      </c>
      <c r="BT204" s="546">
        <f t="shared" si="272"/>
        <v>2.8216306014468211E-2</v>
      </c>
      <c r="BU204" s="546"/>
      <c r="BV204" s="655">
        <f t="shared" si="309"/>
        <v>2.9971143980309905E-2</v>
      </c>
      <c r="BW204" s="472">
        <f t="shared" si="316"/>
        <v>347.98327018788058</v>
      </c>
      <c r="BX204" s="179">
        <f t="shared" si="317"/>
        <v>1.0952462429944443</v>
      </c>
      <c r="BY204" s="6">
        <f t="shared" si="318"/>
        <v>4.994096289109871</v>
      </c>
      <c r="BZ204" s="179">
        <f t="shared" si="319"/>
        <v>0.82013719260822127</v>
      </c>
      <c r="CA204" s="6">
        <f t="shared" si="320"/>
        <v>82.013719260822128</v>
      </c>
      <c r="CB204">
        <f t="shared" si="321"/>
        <v>94</v>
      </c>
      <c r="CD204" s="581">
        <f t="shared" si="310"/>
        <v>-50</v>
      </c>
      <c r="CE204">
        <f t="shared" si="311"/>
        <v>-50</v>
      </c>
    </row>
    <row r="205" spans="5:83" x14ac:dyDescent="0.2">
      <c r="E205" s="176">
        <v>95</v>
      </c>
      <c r="F205" s="223">
        <f t="shared" si="312"/>
        <v>0.95</v>
      </c>
      <c r="G205" s="223">
        <f t="shared" si="279"/>
        <v>0.47499999999999998</v>
      </c>
      <c r="H205" s="223">
        <f t="shared" si="280"/>
        <v>4.75</v>
      </c>
      <c r="I205" s="223">
        <f t="shared" si="281"/>
        <v>1.5674999999999999</v>
      </c>
      <c r="J205" s="559">
        <f t="shared" si="282"/>
        <v>12</v>
      </c>
      <c r="K205" s="454">
        <f t="shared" si="283"/>
        <v>11.860338026730664</v>
      </c>
      <c r="L205" s="454">
        <f t="shared" si="284"/>
        <v>27.9</v>
      </c>
      <c r="M205" s="454"/>
      <c r="N205" s="223">
        <f t="shared" si="285"/>
        <v>0.56989247311827951</v>
      </c>
      <c r="O205" s="178">
        <f t="shared" si="286"/>
        <v>3.4707737084647103</v>
      </c>
      <c r="P205" s="178">
        <f t="shared" si="287"/>
        <v>1.5233225806451611</v>
      </c>
      <c r="Q205" s="223">
        <f t="shared" si="288"/>
        <v>0.69415474169294211</v>
      </c>
      <c r="R205" s="223">
        <f t="shared" si="289"/>
        <v>1.0517496086256699</v>
      </c>
      <c r="S205" s="223">
        <f t="shared" si="290"/>
        <v>3.6534460089102216</v>
      </c>
      <c r="T205" s="223">
        <f t="shared" si="291"/>
        <v>1.5</v>
      </c>
      <c r="U205" s="223">
        <f t="shared" si="292"/>
        <v>3.75</v>
      </c>
      <c r="V205" s="223">
        <f t="shared" si="293"/>
        <v>3.7941583029572707</v>
      </c>
      <c r="W205" s="203">
        <f t="shared" si="294"/>
        <v>350</v>
      </c>
      <c r="X205" s="454">
        <f t="shared" si="295"/>
        <v>132.55289189888884</v>
      </c>
      <c r="Z205" s="223">
        <f t="shared" si="296"/>
        <v>0.5680838224238095</v>
      </c>
      <c r="AA205" s="179">
        <f t="shared" si="297"/>
        <v>1.4369333010833336</v>
      </c>
      <c r="AB205" s="179">
        <f t="shared" si="298"/>
        <v>0.32222311667663794</v>
      </c>
      <c r="AC205" s="179"/>
      <c r="AD205" s="179">
        <f t="shared" si="299"/>
        <v>0.75883166059145413</v>
      </c>
      <c r="AE205" s="563">
        <f t="shared" si="300"/>
        <v>2782.0545988627482</v>
      </c>
      <c r="AF205" s="546">
        <f t="shared" si="301"/>
        <v>0.11951598654315404</v>
      </c>
      <c r="AH205" s="179">
        <f t="shared" si="302"/>
        <v>1.096965511460289</v>
      </c>
      <c r="AI205" s="179">
        <f t="shared" si="303"/>
        <v>1.5</v>
      </c>
      <c r="AJ205" s="179">
        <f t="shared" si="304"/>
        <v>2.0888888888888886</v>
      </c>
      <c r="AL205" s="563">
        <f t="shared" si="305"/>
        <v>950</v>
      </c>
      <c r="AM205" s="472">
        <f t="shared" si="306"/>
        <v>132.55289189888884</v>
      </c>
      <c r="AO205" t="str">
        <f t="shared" si="307"/>
        <v/>
      </c>
      <c r="AP205" t="str">
        <f t="shared" si="308"/>
        <v/>
      </c>
      <c r="AR205" s="6">
        <f t="shared" si="322"/>
        <v>7.5441583029572721</v>
      </c>
      <c r="AS205" s="6">
        <f t="shared" si="313"/>
        <v>3.75</v>
      </c>
      <c r="AT205" s="6">
        <f t="shared" si="314"/>
        <v>3.7941583029572721</v>
      </c>
      <c r="AU205" s="179">
        <f t="shared" si="315"/>
        <v>0.49707334462083319</v>
      </c>
      <c r="AW205" s="6">
        <f t="shared" si="254"/>
        <v>71.25</v>
      </c>
      <c r="AX205" s="6">
        <f t="shared" si="255"/>
        <v>53.977272727272727</v>
      </c>
      <c r="AY205" s="6">
        <f t="shared" si="256"/>
        <v>1.3906058594943704</v>
      </c>
      <c r="AZ205" s="6"/>
      <c r="BA205" s="179">
        <f t="shared" si="257"/>
        <v>0.61057760232883174</v>
      </c>
      <c r="BB205" s="179">
        <f t="shared" si="258"/>
        <v>1.8424860715374149</v>
      </c>
      <c r="BC205" s="179">
        <f t="shared" si="259"/>
        <v>0.8951411497552606</v>
      </c>
      <c r="BD205" s="179"/>
      <c r="BE205" s="546">
        <f t="shared" si="260"/>
        <v>0.13048175296296874</v>
      </c>
      <c r="BF205" s="546">
        <f t="shared" si="261"/>
        <v>4.1605038944763729E-2</v>
      </c>
      <c r="BG205" s="546">
        <f t="shared" si="262"/>
        <v>1.6569111487361105E-3</v>
      </c>
      <c r="BH205" s="546">
        <f t="shared" si="263"/>
        <v>5.1590248291507037E-3</v>
      </c>
      <c r="BI205">
        <f t="shared" si="264"/>
        <v>3.48E-3</v>
      </c>
      <c r="BK205" s="472">
        <f t="shared" si="265"/>
        <v>182.38272788561929</v>
      </c>
      <c r="BL205" s="179">
        <f t="shared" si="266"/>
        <v>0.38</v>
      </c>
      <c r="BM205" s="179">
        <f t="shared" si="267"/>
        <v>0.19</v>
      </c>
      <c r="BN205" s="546"/>
      <c r="BP205" s="472">
        <f t="shared" si="268"/>
        <v>570.00000000000011</v>
      </c>
      <c r="BQ205" s="546">
        <f t="shared" si="269"/>
        <v>7.4561001693125004E-2</v>
      </c>
      <c r="BR205" s="546">
        <f t="shared" si="270"/>
        <v>0.13579019695237504</v>
      </c>
      <c r="BS205" s="546">
        <f t="shared" si="271"/>
        <v>8.0127767798516991E-2</v>
      </c>
      <c r="BT205" s="546">
        <f t="shared" si="272"/>
        <v>2.7872194877644103E-2</v>
      </c>
      <c r="BU205" s="546"/>
      <c r="BV205" s="655">
        <f t="shared" si="309"/>
        <v>2.9824400677249993E-2</v>
      </c>
      <c r="BW205" s="472">
        <f t="shared" si="316"/>
        <v>348.17556199891112</v>
      </c>
      <c r="BX205" s="179">
        <f t="shared" si="317"/>
        <v>1.1005582898845303</v>
      </c>
      <c r="BY205" s="6">
        <f t="shared" si="318"/>
        <v>4.994096289109871</v>
      </c>
      <c r="BZ205" s="179">
        <f t="shared" si="319"/>
        <v>0.81942236830325521</v>
      </c>
      <c r="CA205" s="6">
        <f t="shared" si="320"/>
        <v>81.942236830325527</v>
      </c>
      <c r="CB205">
        <f t="shared" si="321"/>
        <v>95</v>
      </c>
      <c r="CD205" s="581">
        <f t="shared" si="310"/>
        <v>-50</v>
      </c>
      <c r="CE205">
        <f t="shared" si="311"/>
        <v>-50</v>
      </c>
    </row>
    <row r="206" spans="5:83" x14ac:dyDescent="0.2">
      <c r="E206" s="176">
        <v>96</v>
      </c>
      <c r="F206" s="223">
        <f t="shared" si="312"/>
        <v>0.96</v>
      </c>
      <c r="G206" s="223">
        <f t="shared" si="279"/>
        <v>0.48</v>
      </c>
      <c r="H206" s="223">
        <f t="shared" si="280"/>
        <v>4.8</v>
      </c>
      <c r="I206" s="223">
        <f t="shared" si="281"/>
        <v>1.5839999999999999</v>
      </c>
      <c r="J206" s="559">
        <f t="shared" si="282"/>
        <v>12</v>
      </c>
      <c r="K206" s="454">
        <f t="shared" si="283"/>
        <v>11.746167838952219</v>
      </c>
      <c r="L206" s="454">
        <f t="shared" si="284"/>
        <v>27.9</v>
      </c>
      <c r="M206" s="454"/>
      <c r="N206" s="223">
        <f t="shared" si="285"/>
        <v>0.56989247311827951</v>
      </c>
      <c r="O206" s="178">
        <f t="shared" ref="O206:O210" si="323">N206*J206*Isw_max*0.5*Efficiency*Pout/(Pout+Pout2)</f>
        <v>3.4707737084647103</v>
      </c>
      <c r="P206" s="178">
        <f t="shared" si="287"/>
        <v>1.5233225806451611</v>
      </c>
      <c r="Q206" s="223">
        <f t="shared" si="288"/>
        <v>0.69415474169294211</v>
      </c>
      <c r="R206" s="223">
        <f t="shared" si="289"/>
        <v>1.0517496086256699</v>
      </c>
      <c r="S206" s="223">
        <f t="shared" si="290"/>
        <v>3.6153892796507399</v>
      </c>
      <c r="T206" s="223">
        <f t="shared" si="291"/>
        <v>1.5</v>
      </c>
      <c r="U206" s="223">
        <f t="shared" si="292"/>
        <v>3.75</v>
      </c>
      <c r="V206" s="223">
        <f t="shared" si="293"/>
        <v>3.8310366935821074</v>
      </c>
      <c r="W206" s="203">
        <f t="shared" si="294"/>
        <v>350</v>
      </c>
      <c r="X206" s="454">
        <f t="shared" si="295"/>
        <v>131.90808070439388</v>
      </c>
      <c r="Z206" s="223">
        <f t="shared" si="296"/>
        <v>0.5653203458759738</v>
      </c>
      <c r="AA206" s="179">
        <f t="shared" si="297"/>
        <v>1.4438419924529229</v>
      </c>
      <c r="AB206" s="179">
        <f t="shared" ref="AB206:AB210" si="324">0.5*AA206*Z206*Nps*W206/1000*(Pout/(Pout+Pout2))</f>
        <v>0.32219733732779265</v>
      </c>
      <c r="AC206" s="179"/>
      <c r="AD206" s="179">
        <f t="shared" si="299"/>
        <v>0.76620733871642155</v>
      </c>
      <c r="AE206" s="563">
        <f t="shared" ref="AE206:AE210" si="325">MAX(10, F206/(0.5*AD206/1000000*Isw_min*Nps)/1000*Pout_total/Pout)</f>
        <v>2784.2768210849708</v>
      </c>
      <c r="AF206" s="546">
        <f t="shared" si="301"/>
        <v>0.12067765584783639</v>
      </c>
      <c r="AH206" s="179">
        <f t="shared" si="302"/>
        <v>1.1027239001672178</v>
      </c>
      <c r="AI206" s="179">
        <f t="shared" ref="AI206:AI210" si="326">MAX(IF(F206&gt;AB206,T206,AH206),Isw_min)</f>
        <v>1.5</v>
      </c>
      <c r="AJ206" s="179">
        <f t="shared" ref="AJ206:AJ210" si="327">IF(F206&gt;AF206, (AI206-Isw_min)/1.08*0.8+1.2, AE206*0.2/350+1)</f>
        <v>2.0888888888888886</v>
      </c>
      <c r="AL206" s="563">
        <f t="shared" si="305"/>
        <v>960</v>
      </c>
      <c r="AM206" s="472">
        <f t="shared" si="306"/>
        <v>131.90808070439388</v>
      </c>
      <c r="AO206" t="str">
        <f t="shared" si="307"/>
        <v/>
      </c>
      <c r="AP206" t="str">
        <f t="shared" si="308"/>
        <v/>
      </c>
      <c r="AR206" s="6">
        <f t="shared" si="322"/>
        <v>7.5810366935821074</v>
      </c>
      <c r="AS206" s="6">
        <f t="shared" si="313"/>
        <v>3.75</v>
      </c>
      <c r="AT206" s="6">
        <f t="shared" si="314"/>
        <v>3.8310366935821074</v>
      </c>
      <c r="AU206" s="179">
        <f t="shared" si="315"/>
        <v>0.49465530264147706</v>
      </c>
      <c r="AW206" s="6">
        <f t="shared" si="254"/>
        <v>72</v>
      </c>
      <c r="AX206" s="6">
        <f t="shared" si="255"/>
        <v>54.54545454545454</v>
      </c>
      <c r="AY206" s="6">
        <f t="shared" si="256"/>
        <v>1.418902479104484</v>
      </c>
      <c r="AZ206" s="6"/>
      <c r="BA206" s="179">
        <f t="shared" si="257"/>
        <v>0.60909069684334194</v>
      </c>
      <c r="BB206" s="179">
        <f t="shared" si="258"/>
        <v>1.8469100430638277</v>
      </c>
      <c r="BC206" s="179">
        <f t="shared" si="259"/>
        <v>0.89729046258850953</v>
      </c>
      <c r="BD206" s="179"/>
      <c r="BE206" s="546">
        <f t="shared" si="260"/>
        <v>0.12984701694338774</v>
      </c>
      <c r="BF206" s="546">
        <f t="shared" si="261"/>
        <v>4.1402648831091619E-2</v>
      </c>
      <c r="BG206" s="546">
        <f t="shared" si="262"/>
        <v>1.6488510088049236E-3</v>
      </c>
      <c r="BH206" s="546">
        <f t="shared" si="263"/>
        <v>5.1339284550553626E-3</v>
      </c>
      <c r="BI206">
        <f t="shared" si="264"/>
        <v>3.48E-3</v>
      </c>
      <c r="BK206" s="472">
        <f t="shared" si="265"/>
        <v>181.51244523833967</v>
      </c>
      <c r="BL206" s="179">
        <f t="shared" si="266"/>
        <v>0.38400000000000001</v>
      </c>
      <c r="BM206" s="179">
        <f t="shared" si="267"/>
        <v>0.192</v>
      </c>
      <c r="BN206" s="546"/>
      <c r="BP206" s="472">
        <f t="shared" si="268"/>
        <v>576.00000000000011</v>
      </c>
      <c r="BQ206" s="546">
        <f t="shared" si="269"/>
        <v>7.4198295396221567E-2</v>
      </c>
      <c r="BR206" s="546">
        <f t="shared" si="270"/>
        <v>0.13644306828680119</v>
      </c>
      <c r="BS206" s="546">
        <f t="shared" si="271"/>
        <v>8.0513017425230149E-2</v>
      </c>
      <c r="BT206" s="546">
        <f t="shared" si="272"/>
        <v>2.7534465807196602E-2</v>
      </c>
      <c r="BU206" s="546"/>
      <c r="BV206" s="655">
        <f t="shared" si="309"/>
        <v>2.9679318158488625E-2</v>
      </c>
      <c r="BW206" s="472">
        <f t="shared" si="316"/>
        <v>348.36816507393814</v>
      </c>
      <c r="BX206" s="179">
        <f t="shared" si="317"/>
        <v>1.1058806103122778</v>
      </c>
      <c r="BY206" s="6">
        <f t="shared" si="318"/>
        <v>4.994096289109871</v>
      </c>
      <c r="BZ206" s="179">
        <f t="shared" si="319"/>
        <v>0.81870741011871073</v>
      </c>
      <c r="CA206" s="6">
        <f t="shared" si="320"/>
        <v>81.870741011871075</v>
      </c>
      <c r="CB206">
        <f t="shared" si="321"/>
        <v>96</v>
      </c>
      <c r="CD206" s="581">
        <f t="shared" si="310"/>
        <v>-50</v>
      </c>
      <c r="CE206">
        <f t="shared" si="311"/>
        <v>-50</v>
      </c>
    </row>
    <row r="207" spans="5:83" x14ac:dyDescent="0.2">
      <c r="E207" s="176">
        <v>97</v>
      </c>
      <c r="F207" s="223">
        <f t="shared" ref="F207:F210" si="328">IF(PLOT_TYPE=1, E207/100*Iout_max, min_I*EXP(O207*rr/100))</f>
        <v>0.97</v>
      </c>
      <c r="G207" s="223">
        <f t="shared" si="279"/>
        <v>0.48499999999999999</v>
      </c>
      <c r="H207" s="223">
        <f t="shared" si="280"/>
        <v>4.8499999999999996</v>
      </c>
      <c r="I207" s="223">
        <f t="shared" si="281"/>
        <v>1.6004999999999998</v>
      </c>
      <c r="J207" s="559">
        <f t="shared" si="282"/>
        <v>12</v>
      </c>
      <c r="K207" s="454">
        <f t="shared" si="283"/>
        <v>11.634351675664053</v>
      </c>
      <c r="L207" s="454">
        <f t="shared" si="284"/>
        <v>27.9</v>
      </c>
      <c r="M207" s="454"/>
      <c r="N207" s="223">
        <f t="shared" si="285"/>
        <v>0.56989247311827951</v>
      </c>
      <c r="O207" s="178">
        <f t="shared" si="323"/>
        <v>3.4707737084647103</v>
      </c>
      <c r="P207" s="178">
        <f t="shared" si="287"/>
        <v>1.5233225806451611</v>
      </c>
      <c r="Q207" s="223">
        <f t="shared" si="288"/>
        <v>0.69415474169294211</v>
      </c>
      <c r="R207" s="223">
        <f t="shared" si="289"/>
        <v>1.0517496086256699</v>
      </c>
      <c r="S207" s="223">
        <f t="shared" si="290"/>
        <v>3.5781172252213511</v>
      </c>
      <c r="T207" s="223">
        <f t="shared" si="291"/>
        <v>1.5</v>
      </c>
      <c r="U207" s="223">
        <f t="shared" si="292"/>
        <v>3.75</v>
      </c>
      <c r="V207" s="223">
        <f t="shared" si="293"/>
        <v>3.8678562634588354</v>
      </c>
      <c r="W207" s="203">
        <f t="shared" si="294"/>
        <v>350</v>
      </c>
      <c r="X207" s="454">
        <f t="shared" si="295"/>
        <v>131.27052617109331</v>
      </c>
      <c r="Z207" s="223">
        <f t="shared" si="296"/>
        <v>0.56258796930468558</v>
      </c>
      <c r="AA207" s="179">
        <f t="shared" si="297"/>
        <v>1.4506729338811433</v>
      </c>
      <c r="AB207" s="179">
        <f t="shared" si="324"/>
        <v>0.32215702894636689</v>
      </c>
      <c r="AC207" s="179"/>
      <c r="AD207" s="179">
        <f t="shared" si="299"/>
        <v>0.77357125269176708</v>
      </c>
      <c r="AE207" s="563">
        <f t="shared" si="325"/>
        <v>2786.4990433071926</v>
      </c>
      <c r="AF207" s="546">
        <f t="shared" si="301"/>
        <v>0.12183747229895332</v>
      </c>
      <c r="AH207" s="179">
        <f t="shared" si="302"/>
        <v>1.1084523745595327</v>
      </c>
      <c r="AI207" s="179">
        <f t="shared" si="326"/>
        <v>1.5</v>
      </c>
      <c r="AJ207" s="179">
        <f t="shared" si="327"/>
        <v>2.0888888888888886</v>
      </c>
      <c r="AL207" s="563">
        <f t="shared" si="305"/>
        <v>970</v>
      </c>
      <c r="AM207" s="472">
        <f t="shared" si="306"/>
        <v>131.27052617109331</v>
      </c>
      <c r="AO207" t="str">
        <f t="shared" si="307"/>
        <v/>
      </c>
      <c r="AP207" t="str">
        <f t="shared" si="308"/>
        <v/>
      </c>
      <c r="AR207" s="6">
        <f t="shared" si="322"/>
        <v>7.6178562634588349</v>
      </c>
      <c r="AS207" s="6">
        <f t="shared" si="313"/>
        <v>3.75</v>
      </c>
      <c r="AT207" s="6">
        <f t="shared" si="314"/>
        <v>3.8678562634588349</v>
      </c>
      <c r="AU207" s="179">
        <f t="shared" si="315"/>
        <v>0.49226447314159988</v>
      </c>
      <c r="AW207" s="6">
        <f t="shared" si="254"/>
        <v>72.75</v>
      </c>
      <c r="AX207" s="6">
        <f t="shared" si="255"/>
        <v>55.11363636363636</v>
      </c>
      <c r="AY207" s="6">
        <f t="shared" si="256"/>
        <v>1.447461641803653</v>
      </c>
      <c r="AZ207" s="6"/>
      <c r="BA207" s="179">
        <f t="shared" si="257"/>
        <v>0.60761694747283002</v>
      </c>
      <c r="BB207" s="179">
        <f t="shared" si="258"/>
        <v>1.8512738334169261</v>
      </c>
      <c r="BC207" s="179">
        <f t="shared" si="259"/>
        <v>0.89941053740172328</v>
      </c>
      <c r="BD207" s="179"/>
      <c r="BE207" s="546">
        <f t="shared" si="260"/>
        <v>0.12921942419966995</v>
      </c>
      <c r="BF207" s="546">
        <f t="shared" si="261"/>
        <v>4.1202536401951907E-2</v>
      </c>
      <c r="BG207" s="546">
        <f t="shared" si="262"/>
        <v>1.6408815771386664E-3</v>
      </c>
      <c r="BH207" s="546">
        <f t="shared" si="263"/>
        <v>5.1091145138420372E-3</v>
      </c>
      <c r="BI207">
        <f t="shared" si="264"/>
        <v>3.48E-3</v>
      </c>
      <c r="BK207" s="472">
        <f t="shared" si="265"/>
        <v>180.65195669260257</v>
      </c>
      <c r="BL207" s="179">
        <f t="shared" si="266"/>
        <v>0.38800000000000001</v>
      </c>
      <c r="BM207" s="179">
        <f t="shared" si="267"/>
        <v>0.19400000000000001</v>
      </c>
      <c r="BN207" s="546"/>
      <c r="BP207" s="472">
        <f t="shared" si="268"/>
        <v>582.00000000000011</v>
      </c>
      <c r="BQ207" s="546">
        <f t="shared" si="269"/>
        <v>7.3839670971239987E-2</v>
      </c>
      <c r="BR207" s="546">
        <f t="shared" si="270"/>
        <v>0.13708859225176803</v>
      </c>
      <c r="BS207" s="546">
        <f t="shared" si="271"/>
        <v>8.0893931478925665E-2</v>
      </c>
      <c r="BT207" s="546">
        <f t="shared" si="272"/>
        <v>2.7202963390074959E-2</v>
      </c>
      <c r="BU207" s="546"/>
      <c r="BV207" s="655">
        <f t="shared" si="309"/>
        <v>2.9535868388495996E-2</v>
      </c>
      <c r="BW207" s="472">
        <f t="shared" si="316"/>
        <v>348.56102648050455</v>
      </c>
      <c r="BX207" s="179">
        <f t="shared" si="317"/>
        <v>1.1112129831731075</v>
      </c>
      <c r="BY207" s="6">
        <f t="shared" si="318"/>
        <v>4.994096289109871</v>
      </c>
      <c r="BZ207" s="179">
        <f t="shared" si="319"/>
        <v>0.81799235163764472</v>
      </c>
      <c r="CA207" s="6">
        <f t="shared" si="320"/>
        <v>81.799235163764479</v>
      </c>
      <c r="CB207">
        <f t="shared" si="321"/>
        <v>97</v>
      </c>
      <c r="CD207" s="581">
        <f t="shared" si="310"/>
        <v>-50</v>
      </c>
      <c r="CE207">
        <f t="shared" si="311"/>
        <v>-50</v>
      </c>
    </row>
    <row r="208" spans="5:83" x14ac:dyDescent="0.2">
      <c r="E208" s="176">
        <v>98</v>
      </c>
      <c r="F208" s="223">
        <f t="shared" si="328"/>
        <v>0.98</v>
      </c>
      <c r="G208" s="223">
        <f t="shared" si="279"/>
        <v>0.49</v>
      </c>
      <c r="H208" s="223">
        <f t="shared" si="280"/>
        <v>4.9000000000000004</v>
      </c>
      <c r="I208" s="223">
        <f t="shared" si="281"/>
        <v>1.617</v>
      </c>
      <c r="J208" s="559">
        <f t="shared" si="282"/>
        <v>12</v>
      </c>
      <c r="K208" s="454">
        <f t="shared" si="283"/>
        <v>11.52481747489197</v>
      </c>
      <c r="L208" s="454">
        <f t="shared" si="284"/>
        <v>27.9</v>
      </c>
      <c r="M208" s="454"/>
      <c r="N208" s="223">
        <f t="shared" si="285"/>
        <v>0.56989247311827951</v>
      </c>
      <c r="O208" s="178">
        <f t="shared" si="323"/>
        <v>3.4707737084647103</v>
      </c>
      <c r="P208" s="178">
        <f t="shared" si="287"/>
        <v>1.5233225806451611</v>
      </c>
      <c r="Q208" s="223">
        <f t="shared" si="288"/>
        <v>0.69415474169294211</v>
      </c>
      <c r="R208" s="223">
        <f t="shared" si="289"/>
        <v>1.0517496086256699</v>
      </c>
      <c r="S208" s="223">
        <f t="shared" si="290"/>
        <v>3.5416058249639901</v>
      </c>
      <c r="T208" s="223">
        <f t="shared" si="291"/>
        <v>1.5</v>
      </c>
      <c r="U208" s="223">
        <f t="shared" si="292"/>
        <v>3.75</v>
      </c>
      <c r="V208" s="223">
        <f t="shared" si="293"/>
        <v>3.9046171532032714</v>
      </c>
      <c r="W208" s="203">
        <f t="shared" si="294"/>
        <v>350</v>
      </c>
      <c r="X208" s="454">
        <f t="shared" si="295"/>
        <v>130.64010648547253</v>
      </c>
      <c r="Z208" s="223">
        <f t="shared" si="296"/>
        <v>0.55988617065202506</v>
      </c>
      <c r="AA208" s="179">
        <f t="shared" si="297"/>
        <v>1.4574274305127943</v>
      </c>
      <c r="AB208" s="179">
        <f t="shared" si="324"/>
        <v>0.32210268279198506</v>
      </c>
      <c r="AC208" s="179"/>
      <c r="AD208" s="179">
        <f t="shared" si="299"/>
        <v>0.78092343064065428</v>
      </c>
      <c r="AE208" s="563">
        <f t="shared" si="325"/>
        <v>2788.7212655294152</v>
      </c>
      <c r="AF208" s="546">
        <f t="shared" si="301"/>
        <v>0.12299544032590305</v>
      </c>
      <c r="AH208" s="179">
        <f t="shared" si="302"/>
        <v>1.1141513960559102</v>
      </c>
      <c r="AI208" s="179">
        <f t="shared" si="326"/>
        <v>1.5</v>
      </c>
      <c r="AJ208" s="179">
        <f t="shared" si="327"/>
        <v>2.0888888888888886</v>
      </c>
      <c r="AL208" s="563">
        <f t="shared" si="305"/>
        <v>980</v>
      </c>
      <c r="AM208" s="472">
        <f t="shared" si="306"/>
        <v>130.64010648547253</v>
      </c>
      <c r="AO208" t="str">
        <f t="shared" si="307"/>
        <v/>
      </c>
      <c r="AP208" t="str">
        <f t="shared" si="308"/>
        <v/>
      </c>
      <c r="AR208" s="6">
        <f t="shared" si="322"/>
        <v>7.6546171532032723</v>
      </c>
      <c r="AS208" s="6">
        <f t="shared" si="313"/>
        <v>3.75</v>
      </c>
      <c r="AT208" s="6">
        <f t="shared" si="314"/>
        <v>3.9046171532032723</v>
      </c>
      <c r="AU208" s="179">
        <f t="shared" si="315"/>
        <v>0.48990039932052193</v>
      </c>
      <c r="AW208" s="6">
        <f t="shared" si="254"/>
        <v>73.5</v>
      </c>
      <c r="AX208" s="6">
        <f t="shared" si="255"/>
        <v>55.68181818181818</v>
      </c>
      <c r="AY208" s="6">
        <f t="shared" si="256"/>
        <v>1.4762827199611135</v>
      </c>
      <c r="AZ208" s="6"/>
      <c r="BA208" s="179">
        <f t="shared" si="257"/>
        <v>0.60615616757597324</v>
      </c>
      <c r="BB208" s="179">
        <f t="shared" si="258"/>
        <v>1.8555786980310152</v>
      </c>
      <c r="BC208" s="179">
        <f t="shared" si="259"/>
        <v>0.90150198412673477</v>
      </c>
      <c r="BD208" s="179"/>
      <c r="BE208" s="546">
        <f t="shared" si="260"/>
        <v>0.12859885482163697</v>
      </c>
      <c r="BF208" s="546">
        <f t="shared" si="261"/>
        <v>4.1004663423127675E-2</v>
      </c>
      <c r="BG208" s="546">
        <f t="shared" si="262"/>
        <v>1.6330013310684064E-3</v>
      </c>
      <c r="BH208" s="546">
        <f t="shared" si="263"/>
        <v>5.0845782644678332E-3</v>
      </c>
      <c r="BI208">
        <f t="shared" si="264"/>
        <v>3.48E-3</v>
      </c>
      <c r="BK208" s="472">
        <f t="shared" si="265"/>
        <v>179.80109784030091</v>
      </c>
      <c r="BL208" s="179">
        <f t="shared" si="266"/>
        <v>0.39200000000000002</v>
      </c>
      <c r="BM208" s="179">
        <f t="shared" si="267"/>
        <v>0.19600000000000001</v>
      </c>
      <c r="BN208" s="546"/>
      <c r="BP208" s="472">
        <f t="shared" si="268"/>
        <v>588.00000000000011</v>
      </c>
      <c r="BQ208" s="546">
        <f t="shared" si="269"/>
        <v>7.348505989807827E-2</v>
      </c>
      <c r="BR208" s="546">
        <f t="shared" si="270"/>
        <v>0.1377268921834591</v>
      </c>
      <c r="BS208" s="546">
        <f t="shared" si="271"/>
        <v>8.1270582738443953E-2</v>
      </c>
      <c r="BT208" s="546">
        <f t="shared" si="272"/>
        <v>2.6877536869967029E-2</v>
      </c>
      <c r="BU208" s="546"/>
      <c r="BV208" s="655">
        <f t="shared" si="309"/>
        <v>2.9394023959231321E-2</v>
      </c>
      <c r="BW208" s="472">
        <f t="shared" si="316"/>
        <v>348.75409564917965</v>
      </c>
      <c r="BX208" s="179">
        <f t="shared" si="317"/>
        <v>1.1165551934894806</v>
      </c>
      <c r="BY208" s="6">
        <f t="shared" si="318"/>
        <v>4.994096289109871</v>
      </c>
      <c r="BZ208" s="179">
        <f t="shared" si="319"/>
        <v>0.81727722540403835</v>
      </c>
      <c r="CA208" s="6">
        <f t="shared" si="320"/>
        <v>81.727722540403832</v>
      </c>
      <c r="CB208">
        <f t="shared" si="321"/>
        <v>98</v>
      </c>
      <c r="CD208" s="581">
        <f t="shared" si="310"/>
        <v>-50</v>
      </c>
      <c r="CE208">
        <f t="shared" si="311"/>
        <v>-50</v>
      </c>
    </row>
    <row r="209" spans="5:83" x14ac:dyDescent="0.2">
      <c r="E209" s="176">
        <v>99</v>
      </c>
      <c r="F209" s="223">
        <f t="shared" si="328"/>
        <v>0.99</v>
      </c>
      <c r="G209" s="223">
        <f t="shared" si="279"/>
        <v>0.495</v>
      </c>
      <c r="H209" s="223">
        <f t="shared" si="280"/>
        <v>4.95</v>
      </c>
      <c r="I209" s="223">
        <f t="shared" si="281"/>
        <v>1.6335</v>
      </c>
      <c r="J209" s="559">
        <f t="shared" si="282"/>
        <v>12</v>
      </c>
      <c r="K209" s="454">
        <f t="shared" si="283"/>
        <v>11.417496086256698</v>
      </c>
      <c r="L209" s="454">
        <f t="shared" si="284"/>
        <v>27.9</v>
      </c>
      <c r="M209" s="454"/>
      <c r="N209" s="223">
        <f t="shared" si="285"/>
        <v>0.56989247311827951</v>
      </c>
      <c r="O209" s="178">
        <f t="shared" si="323"/>
        <v>3.4707737084647103</v>
      </c>
      <c r="P209" s="178">
        <f t="shared" si="287"/>
        <v>1.5233225806451611</v>
      </c>
      <c r="Q209" s="223">
        <f t="shared" si="288"/>
        <v>0.69415474169294211</v>
      </c>
      <c r="R209" s="223">
        <f t="shared" si="289"/>
        <v>1.0517496086256699</v>
      </c>
      <c r="S209" s="223">
        <f t="shared" si="290"/>
        <v>3.5058320287522329</v>
      </c>
      <c r="T209" s="223">
        <f t="shared" si="291"/>
        <v>1.5</v>
      </c>
      <c r="U209" s="223">
        <f t="shared" si="292"/>
        <v>3.75</v>
      </c>
      <c r="V209" s="223">
        <f t="shared" si="293"/>
        <v>3.9413195029833861</v>
      </c>
      <c r="W209" s="203">
        <f t="shared" si="294"/>
        <v>350</v>
      </c>
      <c r="X209" s="454">
        <f t="shared" si="295"/>
        <v>130.01670254526675</v>
      </c>
      <c r="Z209" s="223">
        <f t="shared" si="296"/>
        <v>0.55721443947971483</v>
      </c>
      <c r="AA209" s="179">
        <f t="shared" si="297"/>
        <v>1.4641067584435703</v>
      </c>
      <c r="AB209" s="179">
        <f t="shared" si="324"/>
        <v>0.32203477371497219</v>
      </c>
      <c r="AC209" s="179"/>
      <c r="AD209" s="179">
        <f t="shared" si="299"/>
        <v>0.78826390059667717</v>
      </c>
      <c r="AE209" s="563">
        <f t="shared" si="325"/>
        <v>2790.9434877516369</v>
      </c>
      <c r="AF209" s="546">
        <f t="shared" si="301"/>
        <v>0.12415156434397666</v>
      </c>
      <c r="AH209" s="179">
        <f t="shared" si="302"/>
        <v>1.1198214143335534</v>
      </c>
      <c r="AI209" s="179">
        <f t="shared" si="326"/>
        <v>1.5</v>
      </c>
      <c r="AJ209" s="179">
        <f t="shared" si="327"/>
        <v>2.0888888888888886</v>
      </c>
      <c r="AL209" s="563">
        <f t="shared" si="305"/>
        <v>990</v>
      </c>
      <c r="AM209" s="472">
        <f t="shared" si="306"/>
        <v>130.01670254526675</v>
      </c>
      <c r="AO209" t="str">
        <f t="shared" si="307"/>
        <v/>
      </c>
      <c r="AP209" t="str">
        <f t="shared" si="308"/>
        <v/>
      </c>
      <c r="AR209" s="6">
        <f t="shared" si="322"/>
        <v>7.6913195029833874</v>
      </c>
      <c r="AS209" s="6">
        <f t="shared" si="313"/>
        <v>3.75</v>
      </c>
      <c r="AT209" s="6">
        <f t="shared" si="314"/>
        <v>3.9413195029833874</v>
      </c>
      <c r="AU209" s="179">
        <f t="shared" si="315"/>
        <v>0.4875626345447503</v>
      </c>
      <c r="AW209" s="6">
        <f t="shared" si="254"/>
        <v>74.25</v>
      </c>
      <c r="AX209" s="6">
        <f t="shared" si="255"/>
        <v>56.25</v>
      </c>
      <c r="AY209" s="6">
        <f t="shared" si="256"/>
        <v>1.5053650879450435</v>
      </c>
      <c r="AZ209" s="6"/>
      <c r="BA209" s="179">
        <f t="shared" si="257"/>
        <v>0.60470817417045275</v>
      </c>
      <c r="BB209" s="179">
        <f t="shared" si="258"/>
        <v>1.8598258565852168</v>
      </c>
      <c r="BC209" s="179">
        <f t="shared" si="259"/>
        <v>0.90356539532431779</v>
      </c>
      <c r="BD209" s="179"/>
      <c r="BE209" s="546">
        <f t="shared" si="260"/>
        <v>0.1279851915679969</v>
      </c>
      <c r="BF209" s="546">
        <f t="shared" si="261"/>
        <v>4.0808992511395602E-2</v>
      </c>
      <c r="BG209" s="546">
        <f t="shared" si="262"/>
        <v>1.6252087818158342E-3</v>
      </c>
      <c r="BH209" s="546">
        <f t="shared" si="263"/>
        <v>5.0603150714130544E-3</v>
      </c>
      <c r="BI209">
        <f t="shared" si="264"/>
        <v>3.48E-3</v>
      </c>
      <c r="BK209" s="472">
        <f t="shared" si="265"/>
        <v>178.9597079326214</v>
      </c>
      <c r="BL209" s="179">
        <f t="shared" si="266"/>
        <v>0.39600000000000002</v>
      </c>
      <c r="BM209" s="179">
        <f t="shared" si="267"/>
        <v>0.19800000000000001</v>
      </c>
      <c r="BN209" s="546"/>
      <c r="BP209" s="472">
        <f t="shared" si="268"/>
        <v>594.00000000000011</v>
      </c>
      <c r="BQ209" s="546">
        <f t="shared" si="269"/>
        <v>7.3134395181712525E-2</v>
      </c>
      <c r="BR209" s="546">
        <f t="shared" si="270"/>
        <v>0.13835808867291743</v>
      </c>
      <c r="BS209" s="546">
        <f t="shared" si="271"/>
        <v>8.1643042362759072E-2</v>
      </c>
      <c r="BT209" s="546">
        <f t="shared" si="272"/>
        <v>2.6558039982201798E-2</v>
      </c>
      <c r="BU209" s="546"/>
      <c r="BV209" s="655">
        <f t="shared" si="309"/>
        <v>2.9253758072685022E-2</v>
      </c>
      <c r="BW209" s="472">
        <f t="shared" si="316"/>
        <v>348.94732427227586</v>
      </c>
      <c r="BX209" s="179">
        <f t="shared" si="317"/>
        <v>1.1219070322048972</v>
      </c>
      <c r="BY209" s="6">
        <f t="shared" si="318"/>
        <v>4.994096289109871</v>
      </c>
      <c r="BZ209" s="179">
        <f t="shared" si="319"/>
        <v>0.81656206295785361</v>
      </c>
      <c r="CA209" s="6">
        <f t="shared" si="320"/>
        <v>81.656206295785367</v>
      </c>
      <c r="CB209">
        <f t="shared" si="321"/>
        <v>99</v>
      </c>
      <c r="CD209" s="581">
        <f t="shared" si="310"/>
        <v>-50</v>
      </c>
      <c r="CE209">
        <f t="shared" si="311"/>
        <v>-50</v>
      </c>
    </row>
    <row r="210" spans="5:83" x14ac:dyDescent="0.2">
      <c r="E210" s="176">
        <v>100</v>
      </c>
      <c r="F210" s="223">
        <f t="shared" si="328"/>
        <v>1</v>
      </c>
      <c r="G210" s="223">
        <f t="shared" si="279"/>
        <v>0.5</v>
      </c>
      <c r="H210" s="223">
        <f t="shared" si="280"/>
        <v>5</v>
      </c>
      <c r="I210" s="223">
        <f t="shared" si="281"/>
        <v>1.65</v>
      </c>
      <c r="J210" s="559">
        <f t="shared" si="282"/>
        <v>12</v>
      </c>
      <c r="K210" s="454">
        <f t="shared" si="283"/>
        <v>11.312321125394131</v>
      </c>
      <c r="L210" s="454">
        <f t="shared" si="284"/>
        <v>27.9</v>
      </c>
      <c r="M210" s="454"/>
      <c r="N210" s="223">
        <f t="shared" si="285"/>
        <v>0.56989247311827951</v>
      </c>
      <c r="O210" s="178">
        <f t="shared" si="323"/>
        <v>3.4707737084647103</v>
      </c>
      <c r="P210" s="178">
        <f t="shared" si="287"/>
        <v>1.5233225806451611</v>
      </c>
      <c r="Q210" s="223">
        <f t="shared" si="288"/>
        <v>0.69415474169294211</v>
      </c>
      <c r="R210" s="223">
        <f t="shared" si="289"/>
        <v>1.0517496086256699</v>
      </c>
      <c r="S210" s="223">
        <f t="shared" si="290"/>
        <v>3.4707737084647103</v>
      </c>
      <c r="T210" s="223">
        <f t="shared" si="291"/>
        <v>1.5</v>
      </c>
      <c r="U210" s="223">
        <f t="shared" si="292"/>
        <v>3.75</v>
      </c>
      <c r="V210" s="223">
        <f t="shared" si="293"/>
        <v>3.977963452521081</v>
      </c>
      <c r="W210" s="203">
        <f t="shared" si="294"/>
        <v>350</v>
      </c>
      <c r="X210" s="454">
        <f t="shared" si="295"/>
        <v>129.40019788444673</v>
      </c>
      <c r="Z210" s="223">
        <f t="shared" si="296"/>
        <v>0.55457227664762887</v>
      </c>
      <c r="AA210" s="179">
        <f t="shared" si="297"/>
        <v>1.4707121655237854</v>
      </c>
      <c r="AB210" s="179">
        <f t="shared" si="324"/>
        <v>0.32195376076100923</v>
      </c>
      <c r="AC210" s="179"/>
      <c r="AD210" s="179">
        <f t="shared" si="299"/>
        <v>0.79559269050421633</v>
      </c>
      <c r="AE210" s="563">
        <f t="shared" si="325"/>
        <v>2793.1657099738591</v>
      </c>
      <c r="AF210" s="546">
        <f t="shared" si="301"/>
        <v>0.12530584875441408</v>
      </c>
      <c r="AH210" s="179">
        <f t="shared" si="302"/>
        <v>1.1254628677422756</v>
      </c>
      <c r="AI210" s="179">
        <f t="shared" si="326"/>
        <v>1.5</v>
      </c>
      <c r="AJ210" s="179">
        <f t="shared" si="327"/>
        <v>2.0888888888888886</v>
      </c>
      <c r="AL210" s="563">
        <f t="shared" si="305"/>
        <v>1000</v>
      </c>
      <c r="AM210" s="472">
        <f t="shared" si="306"/>
        <v>129.40019788444673</v>
      </c>
      <c r="AO210" t="str">
        <f t="shared" si="307"/>
        <v/>
      </c>
      <c r="AP210" t="str">
        <f t="shared" si="308"/>
        <v/>
      </c>
      <c r="AR210" s="6">
        <f t="shared" si="322"/>
        <v>7.727963452521081</v>
      </c>
      <c r="AS210" s="6">
        <f t="shared" si="313"/>
        <v>3.75</v>
      </c>
      <c r="AT210" s="6">
        <f t="shared" si="314"/>
        <v>3.977963452521081</v>
      </c>
      <c r="AU210" s="179">
        <f t="shared" si="315"/>
        <v>0.48525074206667523</v>
      </c>
      <c r="AW210" s="6">
        <f t="shared" si="254"/>
        <v>75</v>
      </c>
      <c r="AX210" s="6">
        <f t="shared" si="255"/>
        <v>56.818181818181813</v>
      </c>
      <c r="AY210" s="6">
        <f t="shared" si="256"/>
        <v>1.5347081221146144</v>
      </c>
      <c r="AZ210" s="6"/>
      <c r="BA210" s="179">
        <f t="shared" si="257"/>
        <v>0.60327278784145932</v>
      </c>
      <c r="BB210" s="179">
        <f t="shared" si="258"/>
        <v>1.8640164943073714</v>
      </c>
      <c r="BC210" s="179">
        <f t="shared" si="259"/>
        <v>0.90560134681766447</v>
      </c>
      <c r="BD210" s="179"/>
      <c r="BE210" s="546">
        <f t="shared" si="260"/>
        <v>0.12737831979250222</v>
      </c>
      <c r="BF210" s="546">
        <f t="shared" si="261"/>
        <v>4.0615487110980709E-2</v>
      </c>
      <c r="BG210" s="546">
        <f t="shared" si="262"/>
        <v>1.6175024735555841E-3</v>
      </c>
      <c r="BH210" s="546">
        <f t="shared" si="263"/>
        <v>5.0363204017616087E-3</v>
      </c>
      <c r="BI210">
        <f t="shared" si="264"/>
        <v>3.48E-3</v>
      </c>
      <c r="BK210" s="472">
        <f t="shared" si="265"/>
        <v>178.12762977880013</v>
      </c>
      <c r="BL210" s="179">
        <f t="shared" si="266"/>
        <v>0.4</v>
      </c>
      <c r="BM210" s="179">
        <f t="shared" si="267"/>
        <v>0.2</v>
      </c>
      <c r="BN210" s="546"/>
      <c r="BP210" s="472">
        <f t="shared" si="268"/>
        <v>600.00000000000011</v>
      </c>
      <c r="BQ210" s="546">
        <f t="shared" si="269"/>
        <v>7.2787611310001277E-2</v>
      </c>
      <c r="BR210" s="546">
        <f t="shared" si="270"/>
        <v>0.13898229964199771</v>
      </c>
      <c r="BS210" s="546">
        <f t="shared" si="271"/>
        <v>8.2011379935796783E-2</v>
      </c>
      <c r="BT210" s="546">
        <f t="shared" si="272"/>
        <v>2.6244330795396495E-2</v>
      </c>
      <c r="BU210" s="546"/>
      <c r="BV210" s="655">
        <f t="shared" si="309"/>
        <v>2.9115044524000516E-2</v>
      </c>
      <c r="BW210" s="472">
        <f t="shared" si="316"/>
        <v>349.14066620719274</v>
      </c>
      <c r="BX210" s="179">
        <f t="shared" si="317"/>
        <v>1.127268295985993</v>
      </c>
      <c r="BY210" s="6">
        <f t="shared" si="318"/>
        <v>4.994096289109871</v>
      </c>
      <c r="BZ210" s="179">
        <f t="shared" si="319"/>
        <v>0.81584689486872974</v>
      </c>
      <c r="CA210" s="6">
        <f t="shared" si="320"/>
        <v>81.584689486872975</v>
      </c>
      <c r="CB210">
        <f t="shared" si="321"/>
        <v>100</v>
      </c>
      <c r="CD210" s="581">
        <f t="shared" si="310"/>
        <v>-50</v>
      </c>
      <c r="CE210">
        <f t="shared" si="311"/>
        <v>-50</v>
      </c>
    </row>
    <row r="211" spans="5:83" x14ac:dyDescent="0.2">
      <c r="E211" s="176"/>
      <c r="F211" s="223"/>
      <c r="G211" s="223"/>
      <c r="H211" s="223"/>
      <c r="I211" s="223"/>
      <c r="J211" s="559"/>
      <c r="K211" s="454"/>
      <c r="L211" s="454"/>
      <c r="M211" s="454"/>
      <c r="N211" s="223"/>
      <c r="O211" s="178"/>
      <c r="P211" s="178"/>
      <c r="Q211" s="223"/>
      <c r="R211" s="223"/>
      <c r="S211" s="223"/>
      <c r="T211" s="223"/>
      <c r="U211" s="223"/>
      <c r="V211" s="223"/>
      <c r="W211" s="203"/>
      <c r="X211" s="454"/>
      <c r="Z211" s="223"/>
      <c r="AA211" s="179"/>
      <c r="AB211" s="179"/>
      <c r="AC211" s="179"/>
      <c r="AD211" s="179"/>
      <c r="AE211" s="563"/>
      <c r="AF211" s="546"/>
      <c r="AH211" s="179"/>
      <c r="AI211" s="179"/>
      <c r="AJ211" s="179"/>
      <c r="AL211" s="563"/>
      <c r="AM211" s="472"/>
      <c r="AR211" s="6"/>
      <c r="AS211" s="6"/>
      <c r="AT211" s="6"/>
      <c r="AU211" s="179"/>
      <c r="CD211" s="581"/>
      <c r="CE211" s="557">
        <f>MAX(CE110:CE210)</f>
        <v>4.1663998742471575</v>
      </c>
    </row>
    <row r="212" spans="5:83" x14ac:dyDescent="0.2">
      <c r="G212" s="223"/>
      <c r="H212" s="223"/>
      <c r="I212" s="223"/>
      <c r="J212" s="559"/>
      <c r="K212" s="454"/>
      <c r="L212" s="454"/>
      <c r="M212" s="454"/>
      <c r="N212" s="223"/>
      <c r="O212" s="178"/>
      <c r="P212" s="178"/>
      <c r="Q212" s="223"/>
      <c r="R212" s="223"/>
      <c r="S212" s="223"/>
      <c r="T212" s="223"/>
      <c r="U212" s="223"/>
      <c r="V212" s="223"/>
      <c r="W212" s="203"/>
      <c r="X212" s="454"/>
      <c r="Z212" s="223"/>
      <c r="AA212" s="179"/>
      <c r="AB212" s="179"/>
      <c r="AC212" s="179"/>
      <c r="AD212" s="179"/>
      <c r="AE212" s="563"/>
      <c r="AF212" s="546"/>
      <c r="AH212" s="179"/>
      <c r="AI212" s="179"/>
      <c r="AJ212" s="179"/>
      <c r="AL212" s="563"/>
      <c r="AM212" s="472"/>
      <c r="AR212" s="6"/>
      <c r="AS212" s="6"/>
      <c r="AT212" s="6"/>
      <c r="AU212" s="179"/>
      <c r="CD212" s="581"/>
    </row>
    <row r="213" spans="5:83" x14ac:dyDescent="0.2">
      <c r="G213" s="223"/>
      <c r="H213" s="223"/>
      <c r="I213" s="223"/>
      <c r="J213" s="559"/>
      <c r="K213" s="454"/>
      <c r="L213" s="454"/>
      <c r="M213" s="454"/>
      <c r="N213" s="223"/>
      <c r="O213" s="178"/>
      <c r="P213" s="178"/>
      <c r="Q213" s="223"/>
      <c r="R213" s="223"/>
      <c r="S213" s="223"/>
      <c r="T213" s="223"/>
      <c r="U213" s="223"/>
      <c r="V213" s="223"/>
      <c r="W213" s="203"/>
      <c r="X213" s="454"/>
      <c r="Z213" s="223"/>
      <c r="AA213" s="179"/>
      <c r="AB213" s="179"/>
      <c r="AC213" s="179"/>
      <c r="AD213" s="179"/>
      <c r="AE213" s="563"/>
      <c r="AF213" s="546"/>
      <c r="AH213" s="179"/>
      <c r="AI213" s="179"/>
      <c r="AJ213" s="179"/>
      <c r="AL213" s="563"/>
      <c r="AM213" s="472"/>
      <c r="AR213" s="6"/>
      <c r="AS213" s="6"/>
      <c r="AT213" s="6"/>
      <c r="AU213" s="179"/>
      <c r="CD213" s="581"/>
    </row>
    <row r="214" spans="5:83" x14ac:dyDescent="0.2">
      <c r="E214" s="456" t="s">
        <v>448</v>
      </c>
      <c r="G214" s="223"/>
      <c r="H214" s="223"/>
      <c r="I214" s="223"/>
      <c r="J214" s="559"/>
      <c r="K214" s="454"/>
      <c r="L214" s="454"/>
      <c r="M214" s="454"/>
      <c r="N214" s="223"/>
      <c r="O214" s="178"/>
      <c r="P214" s="178"/>
      <c r="Q214" s="223"/>
      <c r="R214" s="223"/>
      <c r="S214" s="223"/>
      <c r="T214" s="223"/>
      <c r="U214" s="223"/>
      <c r="V214" s="223"/>
      <c r="W214" s="203"/>
      <c r="X214" s="454"/>
      <c r="Z214" s="223"/>
      <c r="AA214" s="179"/>
      <c r="AB214" s="179"/>
      <c r="AC214" s="179"/>
      <c r="AD214" s="179"/>
      <c r="AE214" s="563"/>
      <c r="AF214" s="546"/>
      <c r="AH214" s="179"/>
      <c r="AI214" s="179"/>
      <c r="AJ214" s="179"/>
      <c r="AL214" s="563"/>
      <c r="AM214" s="472"/>
      <c r="AR214" s="6"/>
      <c r="AS214" s="6"/>
      <c r="AT214" s="6"/>
      <c r="AU214" s="179"/>
      <c r="CD214" s="581"/>
    </row>
    <row r="215" spans="5:83" ht="45" customHeight="1" thickBot="1" x14ac:dyDescent="0.25">
      <c r="E215" s="247" t="s">
        <v>25</v>
      </c>
      <c r="F215" s="624" t="s">
        <v>603</v>
      </c>
      <c r="G215" s="455" t="s">
        <v>602</v>
      </c>
      <c r="H215" s="625" t="s">
        <v>604</v>
      </c>
      <c r="I215" s="626" t="s">
        <v>605</v>
      </c>
      <c r="J215" s="248" t="s">
        <v>425</v>
      </c>
      <c r="K215" s="249" t="s">
        <v>431</v>
      </c>
      <c r="L215" s="545" t="s">
        <v>426</v>
      </c>
      <c r="M215" s="545"/>
      <c r="N215" s="250" t="s">
        <v>48</v>
      </c>
      <c r="O215" s="628" t="s">
        <v>613</v>
      </c>
      <c r="P215" s="178"/>
      <c r="Q215" s="545" t="s">
        <v>416</v>
      </c>
      <c r="R215" s="628" t="s">
        <v>607</v>
      </c>
      <c r="S215" s="545" t="s">
        <v>446</v>
      </c>
      <c r="T215" s="628" t="s">
        <v>427</v>
      </c>
      <c r="U215" s="545" t="s">
        <v>479</v>
      </c>
      <c r="V215" s="545" t="s">
        <v>478</v>
      </c>
      <c r="W215" s="565" t="s">
        <v>433</v>
      </c>
      <c r="X215" s="560" t="s">
        <v>438</v>
      </c>
      <c r="Z215" s="251" t="s">
        <v>430</v>
      </c>
      <c r="AA215" s="251" t="s">
        <v>477</v>
      </c>
      <c r="AB215" s="179"/>
      <c r="AC215" s="562"/>
      <c r="AD215" s="251" t="s">
        <v>476</v>
      </c>
      <c r="AE215" s="563"/>
      <c r="AF215" s="546"/>
      <c r="AG215" s="562"/>
      <c r="AH215" s="179"/>
      <c r="AI215" s="566" t="s">
        <v>443</v>
      </c>
      <c r="AJ215" s="566" t="s">
        <v>444</v>
      </c>
      <c r="AL215" s="561" t="s">
        <v>276</v>
      </c>
      <c r="AM215" s="561" t="s">
        <v>445</v>
      </c>
      <c r="AO215" s="251" t="s">
        <v>276</v>
      </c>
      <c r="AP215" s="251" t="s">
        <v>445</v>
      </c>
      <c r="AQ215" s="567"/>
      <c r="AR215" s="251" t="s">
        <v>480</v>
      </c>
      <c r="AS215" s="251" t="s">
        <v>474</v>
      </c>
      <c r="AT215" s="251" t="s">
        <v>475</v>
      </c>
      <c r="AU215" s="251" t="s">
        <v>48</v>
      </c>
      <c r="AV215" s="562"/>
      <c r="AW215" s="251" t="s">
        <v>495</v>
      </c>
      <c r="AX215" s="251"/>
      <c r="AY215" s="251" t="s">
        <v>496</v>
      </c>
      <c r="AZ215" s="562"/>
      <c r="BA215" s="576" t="s">
        <v>469</v>
      </c>
      <c r="BB215" s="251" t="s">
        <v>470</v>
      </c>
      <c r="BC215" s="251"/>
      <c r="BD215" s="562"/>
      <c r="BE215" s="576" t="s">
        <v>487</v>
      </c>
      <c r="BF215" s="251" t="s">
        <v>488</v>
      </c>
      <c r="BG215" s="251" t="s">
        <v>486</v>
      </c>
      <c r="BH215" s="251" t="s">
        <v>482</v>
      </c>
      <c r="BI215" s="251" t="s">
        <v>491</v>
      </c>
      <c r="BJ215" s="251"/>
      <c r="BK215" s="251" t="s">
        <v>506</v>
      </c>
      <c r="BL215" s="576" t="s">
        <v>489</v>
      </c>
      <c r="BM215" s="251"/>
      <c r="BN215" s="251" t="s">
        <v>490</v>
      </c>
      <c r="BO215" s="251" t="s">
        <v>498</v>
      </c>
      <c r="BP215" s="251" t="s">
        <v>502</v>
      </c>
      <c r="BQ215" s="576" t="s">
        <v>471</v>
      </c>
      <c r="BR215" s="251" t="s">
        <v>472</v>
      </c>
      <c r="BS215" s="251"/>
      <c r="BT215" s="251" t="s">
        <v>481</v>
      </c>
      <c r="BU215" s="251"/>
      <c r="BV215" s="251" t="s">
        <v>499</v>
      </c>
      <c r="BW215" s="251" t="s">
        <v>501</v>
      </c>
      <c r="BX215" s="576" t="s">
        <v>497</v>
      </c>
      <c r="BY215" s="251" t="s">
        <v>224</v>
      </c>
      <c r="BZ215" s="251" t="s">
        <v>47</v>
      </c>
      <c r="CA215" s="251" t="s">
        <v>500</v>
      </c>
      <c r="CB215" s="251"/>
      <c r="CD215" s="581"/>
    </row>
    <row r="216" spans="5:83" x14ac:dyDescent="0.2">
      <c r="E216" s="176">
        <v>0.1</v>
      </c>
      <c r="F216" s="223">
        <v>1.0000000000000001E-9</v>
      </c>
      <c r="G216" s="223">
        <f t="shared" ref="G216:G247" si="329">IF(PLOT_TYPE=1, E216/100*Iout2, min_I*EXP(Q216*rr/100))</f>
        <v>5.0000000000000001E-4</v>
      </c>
      <c r="H216" s="223">
        <f t="shared" ref="H216:H247" si="330">F216*Vout</f>
        <v>5.0000000000000001E-9</v>
      </c>
      <c r="I216" s="223">
        <f t="shared" ref="I216:I247" si="331">Vout2*G216</f>
        <v>1.65E-3</v>
      </c>
      <c r="J216" s="559">
        <f t="shared" ref="J216:J279" si="332">VIN_max</f>
        <v>48</v>
      </c>
      <c r="K216" s="454">
        <f t="shared" ref="K216:K279" si="333">(S216+Vfwd1)*Nps</f>
        <v>15.899999999999999</v>
      </c>
      <c r="L216" s="454">
        <f t="shared" ref="L216:L279" si="334">(Vout+Vfwd1)*Nps+J216</f>
        <v>63.9</v>
      </c>
      <c r="M216" s="454"/>
      <c r="N216" s="223">
        <f t="shared" ref="N216:N279" si="335">(Vout+Vfwd1)*Nps/((Vout+Vfwd1)*Nps+J216)</f>
        <v>0.24882629107981219</v>
      </c>
      <c r="O216" s="178">
        <f t="shared" ref="O216:O247" si="336">N216*J216*Isw_max*0.5*Efficiency*Pout/(Pout+Pout2)</f>
        <v>6.0616329556285065</v>
      </c>
      <c r="P216" s="178">
        <f t="shared" ref="P216:P247" si="337">N216*J216*Isw_max*0.5*Efficiency*(Pout2/Pout_total)</f>
        <v>2.6604507042253513</v>
      </c>
      <c r="Q216" s="223">
        <f t="shared" ref="Q216:Q279" si="338">O216/Vout</f>
        <v>1.2123265911257013</v>
      </c>
      <c r="R216" s="223">
        <f t="shared" ref="R216:R247" si="339">O216/Vout2</f>
        <v>1.8368584714025777</v>
      </c>
      <c r="S216" s="223">
        <f t="shared" ref="S216:S247" si="340">MIN(Vout,O216/F216)</f>
        <v>5</v>
      </c>
      <c r="T216" s="223">
        <f t="shared" ref="T216:T247" si="341">MIN(2*(Vout*F216+Vout2*G216)/(Efficiency*J216*N216), Isw_max)</f>
        <v>3.06997785639413E-4</v>
      </c>
      <c r="U216" s="223">
        <f t="shared" ref="U216:U279" si="342">L*T216/J216*1000000</f>
        <v>1.9187361602463312E-4</v>
      </c>
      <c r="V216" s="223">
        <f t="shared" ref="V216:V279" si="343">L*T216/K216*1000000</f>
        <v>5.7924110498002454E-4</v>
      </c>
      <c r="W216" s="203">
        <f t="shared" ref="W216:W279" si="344">IF(1/((350000*L)*(1/J216+1/K216))&gt;Isw_min, 350, 0.001/((Isw_min*L)*(1/J216+1/K216)))</f>
        <v>350</v>
      </c>
      <c r="X216" s="454">
        <f t="shared" ref="X216:X279" si="345">MIN(1/(U216+V216)*1000, 350)</f>
        <v>350</v>
      </c>
      <c r="Z216" s="223">
        <f t="shared" ref="Z216:Z279" si="346">1/((W216*1000*L)*(1/J216+1/K216))</f>
        <v>1.1374916163648559</v>
      </c>
      <c r="AA216" s="179">
        <f t="shared" ref="AA216:AA279" si="347">L*Z216/K216*1000000</f>
        <v>2.1462105969148224</v>
      </c>
      <c r="AB216" s="179">
        <f t="shared" ref="AB216:AB247" si="348">0.5*AA216*Z216*Nps*W216/1000*(Pout/(Pout+Pout2))</f>
        <v>0.96366969510948308</v>
      </c>
      <c r="AC216" s="179"/>
      <c r="AD216" s="179">
        <f t="shared" ref="AD216:AD279" si="349">L*Isw_min/K216*1000000</f>
        <v>0.5660377358490567</v>
      </c>
      <c r="AE216" s="563">
        <f t="shared" ref="AE216:AE247" si="350">MAX(10, F216/(0.5*AD216/1000000*Isw_min*Nps)/1000*Pout_total/Pout)</f>
        <v>10</v>
      </c>
      <c r="AF216" s="546">
        <f t="shared" ref="AF216:AF247" si="351">0.5*AD216/1000000*Isw_min*Nps*W216*1000*(Pout/Pout_total)</f>
        <v>8.9150943396226423E-2</v>
      </c>
      <c r="AH216" s="179">
        <f t="shared" ref="AH216:AH247" si="352">SQRT((H216+I216)/(0.5*L*Fsw_DCM))</f>
        <v>1.7728132069303484E-2</v>
      </c>
      <c r="AI216" s="179">
        <f t="shared" ref="AI216:AI247" si="353">MAX(IF(F216&gt;AB216,T216,AH216),Isw_min)</f>
        <v>0.3</v>
      </c>
      <c r="AJ216" s="179">
        <f t="shared" ref="AJ216:AJ247" si="354">IF(F216&gt;AF216, (AI216-Isw_min)/1.08*0.8+1.2, AE216*0.2/350+1)</f>
        <v>1.0057142857142858</v>
      </c>
      <c r="AL216" s="563">
        <f t="shared" ref="AL216:AL247" si="355">F216*1000</f>
        <v>1.0000000000000002E-6</v>
      </c>
      <c r="AM216" s="472">
        <f t="shared" ref="AM216:AM247" si="356">IF(F216&gt;AF216, X216, AE216)</f>
        <v>10</v>
      </c>
      <c r="AO216">
        <f t="shared" ref="AO216:AO279" si="357">IF(H216&gt;O216, "",AL216)</f>
        <v>1.0000000000000002E-6</v>
      </c>
      <c r="AP216">
        <f t="shared" ref="AP216:AP279" si="358">IF(H216&gt;O216, "",AM216)</f>
        <v>10</v>
      </c>
      <c r="AR216" s="6">
        <f t="shared" si="322"/>
        <v>100</v>
      </c>
      <c r="AS216" s="6">
        <f t="shared" si="313"/>
        <v>0.1875</v>
      </c>
      <c r="AT216" s="6">
        <f t="shared" si="314"/>
        <v>99.8125</v>
      </c>
      <c r="AU216" s="179">
        <f t="shared" si="315"/>
        <v>1.8749999999999999E-3</v>
      </c>
      <c r="CD216" s="581">
        <f t="shared" ref="CD216:CD247" si="359">IF(ABS(F216-Ioutmax_Vinmax)&lt;Iout/200, AM216, -50)</f>
        <v>-50</v>
      </c>
    </row>
    <row r="217" spans="5:83" x14ac:dyDescent="0.2">
      <c r="E217" s="176">
        <v>1</v>
      </c>
      <c r="F217" s="223">
        <f t="shared" ref="F217:F248" si="360">IF(PLOT_TYPE=1, E217/100*Iout_max, min_I*EXP(O217*rr/100))</f>
        <v>0.01</v>
      </c>
      <c r="G217" s="223">
        <f t="shared" si="329"/>
        <v>5.0000000000000001E-3</v>
      </c>
      <c r="H217" s="223">
        <f t="shared" si="330"/>
        <v>0.05</v>
      </c>
      <c r="I217" s="223">
        <f t="shared" si="331"/>
        <v>1.6500000000000001E-2</v>
      </c>
      <c r="J217" s="559">
        <f t="shared" si="332"/>
        <v>48</v>
      </c>
      <c r="K217" s="454">
        <f t="shared" si="333"/>
        <v>15.899999999999999</v>
      </c>
      <c r="L217" s="454">
        <f t="shared" si="334"/>
        <v>63.9</v>
      </c>
      <c r="M217" s="454"/>
      <c r="N217" s="223">
        <f t="shared" si="335"/>
        <v>0.24882629107981219</v>
      </c>
      <c r="O217" s="178">
        <f t="shared" si="336"/>
        <v>6.0616329556285065</v>
      </c>
      <c r="P217" s="178">
        <f t="shared" si="337"/>
        <v>2.6604507042253513</v>
      </c>
      <c r="Q217" s="223">
        <f t="shared" si="338"/>
        <v>1.2123265911257013</v>
      </c>
      <c r="R217" s="223">
        <f t="shared" si="339"/>
        <v>1.8368584714025777</v>
      </c>
      <c r="S217" s="223">
        <f t="shared" si="340"/>
        <v>5</v>
      </c>
      <c r="T217" s="223">
        <f t="shared" si="341"/>
        <v>1.2372903563941301E-2</v>
      </c>
      <c r="U217" s="223">
        <f t="shared" si="342"/>
        <v>7.733064727463314E-3</v>
      </c>
      <c r="V217" s="223">
        <f t="shared" si="343"/>
        <v>2.3345101064040193E-2</v>
      </c>
      <c r="W217" s="203">
        <f t="shared" si="344"/>
        <v>350</v>
      </c>
      <c r="X217" s="454">
        <f t="shared" si="345"/>
        <v>350</v>
      </c>
      <c r="Z217" s="223">
        <f t="shared" si="346"/>
        <v>1.1374916163648559</v>
      </c>
      <c r="AA217" s="179">
        <f t="shared" si="347"/>
        <v>2.1462105969148224</v>
      </c>
      <c r="AB217" s="179">
        <f t="shared" si="348"/>
        <v>0.96366969510948308</v>
      </c>
      <c r="AC217" s="179"/>
      <c r="AD217" s="179">
        <f t="shared" si="349"/>
        <v>0.5660377358490567</v>
      </c>
      <c r="AE217" s="563">
        <f t="shared" si="350"/>
        <v>39.259259259259252</v>
      </c>
      <c r="AF217" s="546">
        <f t="shared" si="351"/>
        <v>8.9150943396226423E-2</v>
      </c>
      <c r="AH217" s="179">
        <f t="shared" si="352"/>
        <v>0.11254628677422755</v>
      </c>
      <c r="AI217" s="179">
        <f t="shared" si="353"/>
        <v>0.3</v>
      </c>
      <c r="AJ217" s="179">
        <f t="shared" si="354"/>
        <v>1.0224338624338625</v>
      </c>
      <c r="AL217" s="563">
        <f t="shared" si="355"/>
        <v>10</v>
      </c>
      <c r="AM217" s="472">
        <f t="shared" si="356"/>
        <v>39.259259259259252</v>
      </c>
      <c r="AO217">
        <f t="shared" si="357"/>
        <v>10</v>
      </c>
      <c r="AP217">
        <f t="shared" si="358"/>
        <v>39.259259259259252</v>
      </c>
      <c r="AR217" s="6">
        <f t="shared" si="322"/>
        <v>25.471698113207552</v>
      </c>
      <c r="AS217" s="6">
        <f t="shared" si="313"/>
        <v>0.1875</v>
      </c>
      <c r="AT217" s="6">
        <f t="shared" si="314"/>
        <v>25.284198113207552</v>
      </c>
      <c r="AU217" s="179">
        <f t="shared" si="315"/>
        <v>7.3611111111111099E-3</v>
      </c>
      <c r="CD217" s="581">
        <f t="shared" si="359"/>
        <v>-50</v>
      </c>
    </row>
    <row r="218" spans="5:83" x14ac:dyDescent="0.2">
      <c r="E218" s="176">
        <v>2</v>
      </c>
      <c r="F218" s="223">
        <f t="shared" si="360"/>
        <v>0.02</v>
      </c>
      <c r="G218" s="223">
        <f t="shared" si="329"/>
        <v>0.01</v>
      </c>
      <c r="H218" s="223">
        <f t="shared" si="330"/>
        <v>0.1</v>
      </c>
      <c r="I218" s="223">
        <f t="shared" si="331"/>
        <v>3.3000000000000002E-2</v>
      </c>
      <c r="J218" s="559">
        <f t="shared" si="332"/>
        <v>48</v>
      </c>
      <c r="K218" s="454">
        <f t="shared" si="333"/>
        <v>15.899999999999999</v>
      </c>
      <c r="L218" s="454">
        <f t="shared" si="334"/>
        <v>63.9</v>
      </c>
      <c r="M218" s="454"/>
      <c r="N218" s="223">
        <f t="shared" si="335"/>
        <v>0.24882629107981219</v>
      </c>
      <c r="O218" s="178">
        <f t="shared" si="336"/>
        <v>6.0616329556285065</v>
      </c>
      <c r="P218" s="178">
        <f t="shared" si="337"/>
        <v>2.6604507042253513</v>
      </c>
      <c r="Q218" s="223">
        <f t="shared" si="338"/>
        <v>1.2123265911257013</v>
      </c>
      <c r="R218" s="223">
        <f t="shared" si="339"/>
        <v>1.8368584714025777</v>
      </c>
      <c r="S218" s="223">
        <f t="shared" si="340"/>
        <v>5</v>
      </c>
      <c r="T218" s="223">
        <f t="shared" si="341"/>
        <v>2.4745807127882602E-2</v>
      </c>
      <c r="U218" s="223">
        <f t="shared" si="342"/>
        <v>1.5466129454926628E-2</v>
      </c>
      <c r="V218" s="223">
        <f t="shared" si="343"/>
        <v>4.6690202128080387E-2</v>
      </c>
      <c r="W218" s="203">
        <f t="shared" si="344"/>
        <v>350</v>
      </c>
      <c r="X218" s="454">
        <f t="shared" si="345"/>
        <v>350</v>
      </c>
      <c r="Z218" s="223">
        <f t="shared" si="346"/>
        <v>1.1374916163648559</v>
      </c>
      <c r="AA218" s="179">
        <f t="shared" si="347"/>
        <v>2.1462105969148224</v>
      </c>
      <c r="AB218" s="179">
        <f t="shared" si="348"/>
        <v>0.96366969510948308</v>
      </c>
      <c r="AC218" s="179"/>
      <c r="AD218" s="179">
        <f t="shared" si="349"/>
        <v>0.5660377358490567</v>
      </c>
      <c r="AE218" s="563">
        <f t="shared" si="350"/>
        <v>78.518518518518505</v>
      </c>
      <c r="AF218" s="546">
        <f t="shared" si="351"/>
        <v>8.9150943396226423E-2</v>
      </c>
      <c r="AH218" s="179">
        <f t="shared" si="352"/>
        <v>0.1591644851508443</v>
      </c>
      <c r="AI218" s="179">
        <f t="shared" si="353"/>
        <v>0.3</v>
      </c>
      <c r="AJ218" s="179">
        <f t="shared" si="354"/>
        <v>1.0448677248677249</v>
      </c>
      <c r="AL218" s="563">
        <f t="shared" si="355"/>
        <v>20</v>
      </c>
      <c r="AM218" s="472">
        <f t="shared" si="356"/>
        <v>78.518518518518505</v>
      </c>
      <c r="AO218">
        <f t="shared" si="357"/>
        <v>20</v>
      </c>
      <c r="AP218">
        <f t="shared" si="358"/>
        <v>78.518518518518505</v>
      </c>
      <c r="AR218" s="6">
        <f t="shared" si="322"/>
        <v>12.735849056603776</v>
      </c>
      <c r="AS218" s="6">
        <f t="shared" si="313"/>
        <v>0.1875</v>
      </c>
      <c r="AT218" s="6">
        <f t="shared" si="314"/>
        <v>12.548349056603776</v>
      </c>
      <c r="AU218" s="179">
        <f t="shared" si="315"/>
        <v>1.472222222222222E-2</v>
      </c>
      <c r="CD218" s="581">
        <f t="shared" si="359"/>
        <v>-50</v>
      </c>
    </row>
    <row r="219" spans="5:83" x14ac:dyDescent="0.2">
      <c r="E219" s="176">
        <v>3</v>
      </c>
      <c r="F219" s="223">
        <f t="shared" si="360"/>
        <v>0.03</v>
      </c>
      <c r="G219" s="223">
        <f t="shared" si="329"/>
        <v>1.4999999999999999E-2</v>
      </c>
      <c r="H219" s="223">
        <f t="shared" si="330"/>
        <v>0.15</v>
      </c>
      <c r="I219" s="223">
        <f t="shared" si="331"/>
        <v>4.9499999999999995E-2</v>
      </c>
      <c r="J219" s="559">
        <f t="shared" si="332"/>
        <v>48</v>
      </c>
      <c r="K219" s="454">
        <f t="shared" si="333"/>
        <v>15.899999999999999</v>
      </c>
      <c r="L219" s="454">
        <f t="shared" si="334"/>
        <v>63.9</v>
      </c>
      <c r="M219" s="454"/>
      <c r="N219" s="223">
        <f t="shared" si="335"/>
        <v>0.24882629107981219</v>
      </c>
      <c r="O219" s="178">
        <f t="shared" si="336"/>
        <v>6.0616329556285065</v>
      </c>
      <c r="P219" s="178">
        <f t="shared" si="337"/>
        <v>2.6604507042253513</v>
      </c>
      <c r="Q219" s="223">
        <f t="shared" si="338"/>
        <v>1.2123265911257013</v>
      </c>
      <c r="R219" s="223">
        <f t="shared" si="339"/>
        <v>1.8368584714025777</v>
      </c>
      <c r="S219" s="223">
        <f t="shared" si="340"/>
        <v>5</v>
      </c>
      <c r="T219" s="223">
        <f t="shared" si="341"/>
        <v>3.7118710691823896E-2</v>
      </c>
      <c r="U219" s="223">
        <f t="shared" si="342"/>
        <v>2.3199194182389932E-2</v>
      </c>
      <c r="V219" s="223">
        <f t="shared" si="343"/>
        <v>7.0035303192120563E-2</v>
      </c>
      <c r="W219" s="203">
        <f t="shared" si="344"/>
        <v>350</v>
      </c>
      <c r="X219" s="454">
        <f t="shared" si="345"/>
        <v>350</v>
      </c>
      <c r="Z219" s="223">
        <f t="shared" si="346"/>
        <v>1.1374916163648559</v>
      </c>
      <c r="AA219" s="179">
        <f t="shared" si="347"/>
        <v>2.1462105969148224</v>
      </c>
      <c r="AB219" s="179">
        <f t="shared" si="348"/>
        <v>0.96366969510948308</v>
      </c>
      <c r="AC219" s="179"/>
      <c r="AD219" s="179">
        <f t="shared" si="349"/>
        <v>0.5660377358490567</v>
      </c>
      <c r="AE219" s="563">
        <f t="shared" si="350"/>
        <v>117.77777777777776</v>
      </c>
      <c r="AF219" s="546">
        <f t="shared" si="351"/>
        <v>8.9150943396226423E-2</v>
      </c>
      <c r="AH219" s="179">
        <f t="shared" si="352"/>
        <v>0.19493588689617927</v>
      </c>
      <c r="AI219" s="179">
        <f t="shared" si="353"/>
        <v>0.3</v>
      </c>
      <c r="AJ219" s="179">
        <f t="shared" si="354"/>
        <v>1.0673015873015872</v>
      </c>
      <c r="AL219" s="563">
        <f t="shared" si="355"/>
        <v>30</v>
      </c>
      <c r="AM219" s="472">
        <f t="shared" si="356"/>
        <v>117.77777777777776</v>
      </c>
      <c r="AO219">
        <f t="shared" si="357"/>
        <v>30</v>
      </c>
      <c r="AP219">
        <f t="shared" si="358"/>
        <v>117.77777777777776</v>
      </c>
      <c r="AR219" s="6">
        <f t="shared" si="322"/>
        <v>8.4905660377358512</v>
      </c>
      <c r="AS219" s="6">
        <f t="shared" si="313"/>
        <v>0.1875</v>
      </c>
      <c r="AT219" s="6">
        <f t="shared" si="314"/>
        <v>8.3030660377358512</v>
      </c>
      <c r="AU219" s="179">
        <f t="shared" si="315"/>
        <v>2.2083333333333326E-2</v>
      </c>
      <c r="CD219" s="581">
        <f t="shared" si="359"/>
        <v>-50</v>
      </c>
    </row>
    <row r="220" spans="5:83" x14ac:dyDescent="0.2">
      <c r="E220" s="176">
        <v>4</v>
      </c>
      <c r="F220" s="223">
        <f t="shared" si="360"/>
        <v>0.04</v>
      </c>
      <c r="G220" s="223">
        <f t="shared" si="329"/>
        <v>0.02</v>
      </c>
      <c r="H220" s="223">
        <f t="shared" si="330"/>
        <v>0.2</v>
      </c>
      <c r="I220" s="223">
        <f t="shared" si="331"/>
        <v>6.6000000000000003E-2</v>
      </c>
      <c r="J220" s="559">
        <f t="shared" si="332"/>
        <v>48</v>
      </c>
      <c r="K220" s="454">
        <f t="shared" si="333"/>
        <v>15.899999999999999</v>
      </c>
      <c r="L220" s="454">
        <f t="shared" si="334"/>
        <v>63.9</v>
      </c>
      <c r="M220" s="454"/>
      <c r="N220" s="223">
        <f t="shared" si="335"/>
        <v>0.24882629107981219</v>
      </c>
      <c r="O220" s="178">
        <f t="shared" si="336"/>
        <v>6.0616329556285065</v>
      </c>
      <c r="P220" s="178">
        <f t="shared" si="337"/>
        <v>2.6604507042253513</v>
      </c>
      <c r="Q220" s="223">
        <f t="shared" si="338"/>
        <v>1.2123265911257013</v>
      </c>
      <c r="R220" s="223">
        <f t="shared" si="339"/>
        <v>1.8368584714025777</v>
      </c>
      <c r="S220" s="223">
        <f t="shared" si="340"/>
        <v>5</v>
      </c>
      <c r="T220" s="223">
        <f t="shared" si="341"/>
        <v>4.9491614255765204E-2</v>
      </c>
      <c r="U220" s="223">
        <f t="shared" si="342"/>
        <v>3.0932258909853256E-2</v>
      </c>
      <c r="V220" s="223">
        <f t="shared" si="343"/>
        <v>9.3380404256160773E-2</v>
      </c>
      <c r="W220" s="203">
        <f t="shared" si="344"/>
        <v>350</v>
      </c>
      <c r="X220" s="454">
        <f t="shared" si="345"/>
        <v>350</v>
      </c>
      <c r="Z220" s="223">
        <f t="shared" si="346"/>
        <v>1.1374916163648559</v>
      </c>
      <c r="AA220" s="179">
        <f t="shared" si="347"/>
        <v>2.1462105969148224</v>
      </c>
      <c r="AB220" s="179">
        <f t="shared" si="348"/>
        <v>0.96366969510948308</v>
      </c>
      <c r="AC220" s="179"/>
      <c r="AD220" s="179">
        <f t="shared" si="349"/>
        <v>0.5660377358490567</v>
      </c>
      <c r="AE220" s="563">
        <f t="shared" si="350"/>
        <v>157.03703703703701</v>
      </c>
      <c r="AF220" s="546">
        <f t="shared" si="351"/>
        <v>8.9150943396226423E-2</v>
      </c>
      <c r="AH220" s="179">
        <f t="shared" si="352"/>
        <v>0.2250925735484551</v>
      </c>
      <c r="AI220" s="179">
        <f t="shared" si="353"/>
        <v>0.3</v>
      </c>
      <c r="AJ220" s="179">
        <f t="shared" si="354"/>
        <v>1.0897354497354497</v>
      </c>
      <c r="AL220" s="563">
        <f t="shared" si="355"/>
        <v>40</v>
      </c>
      <c r="AM220" s="472">
        <f t="shared" si="356"/>
        <v>157.03703703703701</v>
      </c>
      <c r="AO220">
        <f t="shared" si="357"/>
        <v>40</v>
      </c>
      <c r="AP220">
        <f t="shared" si="358"/>
        <v>157.03703703703701</v>
      </c>
      <c r="AR220" s="6">
        <f t="shared" si="322"/>
        <v>6.3679245283018879</v>
      </c>
      <c r="AS220" s="6">
        <f t="shared" si="313"/>
        <v>0.1875</v>
      </c>
      <c r="AT220" s="6">
        <f t="shared" si="314"/>
        <v>6.1804245283018879</v>
      </c>
      <c r="AU220" s="179">
        <f t="shared" si="315"/>
        <v>2.944444444444444E-2</v>
      </c>
      <c r="CD220" s="581">
        <f t="shared" si="359"/>
        <v>-50</v>
      </c>
    </row>
    <row r="221" spans="5:83" x14ac:dyDescent="0.2">
      <c r="E221" s="176">
        <v>5</v>
      </c>
      <c r="F221" s="223">
        <f t="shared" si="360"/>
        <v>0.05</v>
      </c>
      <c r="G221" s="223">
        <f t="shared" si="329"/>
        <v>2.5000000000000001E-2</v>
      </c>
      <c r="H221" s="223">
        <f t="shared" si="330"/>
        <v>0.25</v>
      </c>
      <c r="I221" s="223">
        <f t="shared" si="331"/>
        <v>8.2500000000000004E-2</v>
      </c>
      <c r="J221" s="559">
        <f t="shared" si="332"/>
        <v>48</v>
      </c>
      <c r="K221" s="454">
        <f t="shared" si="333"/>
        <v>15.899999999999999</v>
      </c>
      <c r="L221" s="454">
        <f t="shared" si="334"/>
        <v>63.9</v>
      </c>
      <c r="M221" s="454"/>
      <c r="N221" s="223">
        <f t="shared" si="335"/>
        <v>0.24882629107981219</v>
      </c>
      <c r="O221" s="178">
        <f t="shared" si="336"/>
        <v>6.0616329556285065</v>
      </c>
      <c r="P221" s="178">
        <f t="shared" si="337"/>
        <v>2.6604507042253513</v>
      </c>
      <c r="Q221" s="223">
        <f t="shared" si="338"/>
        <v>1.2123265911257013</v>
      </c>
      <c r="R221" s="223">
        <f t="shared" si="339"/>
        <v>1.8368584714025777</v>
      </c>
      <c r="S221" s="223">
        <f t="shared" si="340"/>
        <v>5</v>
      </c>
      <c r="T221" s="223">
        <f t="shared" si="341"/>
        <v>6.1864517819706505E-2</v>
      </c>
      <c r="U221" s="223">
        <f t="shared" si="342"/>
        <v>3.8665323637316569E-2</v>
      </c>
      <c r="V221" s="223">
        <f t="shared" si="343"/>
        <v>0.11672550532020097</v>
      </c>
      <c r="W221" s="203">
        <f t="shared" si="344"/>
        <v>350</v>
      </c>
      <c r="X221" s="454">
        <f t="shared" si="345"/>
        <v>350</v>
      </c>
      <c r="Z221" s="223">
        <f t="shared" si="346"/>
        <v>1.1374916163648559</v>
      </c>
      <c r="AA221" s="179">
        <f t="shared" si="347"/>
        <v>2.1462105969148224</v>
      </c>
      <c r="AB221" s="179">
        <f t="shared" si="348"/>
        <v>0.96366969510948308</v>
      </c>
      <c r="AC221" s="179"/>
      <c r="AD221" s="179">
        <f t="shared" si="349"/>
        <v>0.5660377358490567</v>
      </c>
      <c r="AE221" s="563">
        <f t="shared" si="350"/>
        <v>196.29629629629628</v>
      </c>
      <c r="AF221" s="546">
        <f t="shared" si="351"/>
        <v>8.9150943396226423E-2</v>
      </c>
      <c r="AH221" s="179">
        <f t="shared" si="352"/>
        <v>0.25166114784235832</v>
      </c>
      <c r="AI221" s="179">
        <f t="shared" si="353"/>
        <v>0.3</v>
      </c>
      <c r="AJ221" s="179">
        <f t="shared" si="354"/>
        <v>1.1121693121693121</v>
      </c>
      <c r="AL221" s="563">
        <f t="shared" si="355"/>
        <v>50</v>
      </c>
      <c r="AM221" s="472">
        <f t="shared" si="356"/>
        <v>196.29629629629628</v>
      </c>
      <c r="AO221">
        <f t="shared" si="357"/>
        <v>50</v>
      </c>
      <c r="AP221">
        <f t="shared" si="358"/>
        <v>196.29629629629628</v>
      </c>
      <c r="AR221" s="6">
        <f t="shared" si="322"/>
        <v>5.0943396226415105</v>
      </c>
      <c r="AS221" s="6">
        <f t="shared" si="313"/>
        <v>0.1875</v>
      </c>
      <c r="AT221" s="6">
        <f t="shared" si="314"/>
        <v>4.9068396226415105</v>
      </c>
      <c r="AU221" s="179">
        <f t="shared" si="315"/>
        <v>3.680555555555555E-2</v>
      </c>
      <c r="CD221" s="581">
        <f t="shared" si="359"/>
        <v>-50</v>
      </c>
    </row>
    <row r="222" spans="5:83" x14ac:dyDescent="0.2">
      <c r="E222" s="176">
        <v>6</v>
      </c>
      <c r="F222" s="223">
        <f t="shared" si="360"/>
        <v>0.06</v>
      </c>
      <c r="G222" s="223">
        <f t="shared" si="329"/>
        <v>0.03</v>
      </c>
      <c r="H222" s="223">
        <f t="shared" si="330"/>
        <v>0.3</v>
      </c>
      <c r="I222" s="223">
        <f t="shared" si="331"/>
        <v>9.8999999999999991E-2</v>
      </c>
      <c r="J222" s="559">
        <f t="shared" si="332"/>
        <v>48</v>
      </c>
      <c r="K222" s="454">
        <f t="shared" si="333"/>
        <v>15.899999999999999</v>
      </c>
      <c r="L222" s="454">
        <f t="shared" si="334"/>
        <v>63.9</v>
      </c>
      <c r="M222" s="454"/>
      <c r="N222" s="223">
        <f t="shared" si="335"/>
        <v>0.24882629107981219</v>
      </c>
      <c r="O222" s="178">
        <f t="shared" si="336"/>
        <v>6.0616329556285065</v>
      </c>
      <c r="P222" s="178">
        <f t="shared" si="337"/>
        <v>2.6604507042253513</v>
      </c>
      <c r="Q222" s="223">
        <f t="shared" si="338"/>
        <v>1.2123265911257013</v>
      </c>
      <c r="R222" s="223">
        <f t="shared" si="339"/>
        <v>1.8368584714025777</v>
      </c>
      <c r="S222" s="223">
        <f t="shared" si="340"/>
        <v>5</v>
      </c>
      <c r="T222" s="223">
        <f t="shared" si="341"/>
        <v>7.4237421383647792E-2</v>
      </c>
      <c r="U222" s="223">
        <f t="shared" si="342"/>
        <v>4.6398388364779865E-2</v>
      </c>
      <c r="V222" s="223">
        <f t="shared" si="343"/>
        <v>0.14007060638424113</v>
      </c>
      <c r="W222" s="203">
        <f t="shared" si="344"/>
        <v>350</v>
      </c>
      <c r="X222" s="454">
        <f t="shared" si="345"/>
        <v>350</v>
      </c>
      <c r="Z222" s="223">
        <f t="shared" si="346"/>
        <v>1.1374916163648559</v>
      </c>
      <c r="AA222" s="179">
        <f t="shared" si="347"/>
        <v>2.1462105969148224</v>
      </c>
      <c r="AB222" s="179">
        <f t="shared" si="348"/>
        <v>0.96366969510948308</v>
      </c>
      <c r="AC222" s="179"/>
      <c r="AD222" s="179">
        <f t="shared" si="349"/>
        <v>0.5660377358490567</v>
      </c>
      <c r="AE222" s="563">
        <f t="shared" si="350"/>
        <v>235.55555555555551</v>
      </c>
      <c r="AF222" s="546">
        <f t="shared" si="351"/>
        <v>8.9150943396226423E-2</v>
      </c>
      <c r="AH222" s="179">
        <f t="shared" si="352"/>
        <v>0.27568097504180444</v>
      </c>
      <c r="AI222" s="179">
        <f t="shared" si="353"/>
        <v>0.3</v>
      </c>
      <c r="AJ222" s="179">
        <f t="shared" si="354"/>
        <v>1.1346031746031746</v>
      </c>
      <c r="AL222" s="563">
        <f t="shared" si="355"/>
        <v>60</v>
      </c>
      <c r="AM222" s="472">
        <f t="shared" si="356"/>
        <v>235.55555555555551</v>
      </c>
      <c r="AO222">
        <f t="shared" si="357"/>
        <v>60</v>
      </c>
      <c r="AP222">
        <f t="shared" si="358"/>
        <v>235.55555555555551</v>
      </c>
      <c r="AR222" s="6">
        <f t="shared" si="322"/>
        <v>4.2452830188679256</v>
      </c>
      <c r="AS222" s="6">
        <f t="shared" si="313"/>
        <v>0.1875</v>
      </c>
      <c r="AT222" s="6">
        <f t="shared" si="314"/>
        <v>4.0577830188679256</v>
      </c>
      <c r="AU222" s="179">
        <f t="shared" si="315"/>
        <v>4.4166666666666653E-2</v>
      </c>
      <c r="CD222" s="581">
        <f t="shared" si="359"/>
        <v>-50</v>
      </c>
    </row>
    <row r="223" spans="5:83" x14ac:dyDescent="0.2">
      <c r="E223" s="176">
        <v>7</v>
      </c>
      <c r="F223" s="223">
        <f t="shared" si="360"/>
        <v>7.0000000000000007E-2</v>
      </c>
      <c r="G223" s="223">
        <f t="shared" si="329"/>
        <v>3.5000000000000003E-2</v>
      </c>
      <c r="H223" s="223">
        <f t="shared" si="330"/>
        <v>0.35000000000000003</v>
      </c>
      <c r="I223" s="223">
        <f t="shared" si="331"/>
        <v>0.11550000000000001</v>
      </c>
      <c r="J223" s="559">
        <f t="shared" si="332"/>
        <v>48</v>
      </c>
      <c r="K223" s="454">
        <f t="shared" si="333"/>
        <v>15.899999999999999</v>
      </c>
      <c r="L223" s="454">
        <f t="shared" si="334"/>
        <v>63.9</v>
      </c>
      <c r="M223" s="454"/>
      <c r="N223" s="223">
        <f t="shared" si="335"/>
        <v>0.24882629107981219</v>
      </c>
      <c r="O223" s="178">
        <f t="shared" si="336"/>
        <v>6.0616329556285065</v>
      </c>
      <c r="P223" s="178">
        <f t="shared" si="337"/>
        <v>2.6604507042253513</v>
      </c>
      <c r="Q223" s="223">
        <f t="shared" si="338"/>
        <v>1.2123265911257013</v>
      </c>
      <c r="R223" s="223">
        <f t="shared" si="339"/>
        <v>1.8368584714025777</v>
      </c>
      <c r="S223" s="223">
        <f t="shared" si="340"/>
        <v>5</v>
      </c>
      <c r="T223" s="223">
        <f t="shared" si="341"/>
        <v>8.6610324947589107E-2</v>
      </c>
      <c r="U223" s="223">
        <f t="shared" si="342"/>
        <v>5.4131453092243188E-2</v>
      </c>
      <c r="V223" s="223">
        <f t="shared" si="343"/>
        <v>0.16341570744828135</v>
      </c>
      <c r="W223" s="203">
        <f t="shared" si="344"/>
        <v>350</v>
      </c>
      <c r="X223" s="454">
        <f t="shared" si="345"/>
        <v>350</v>
      </c>
      <c r="Z223" s="223">
        <f t="shared" si="346"/>
        <v>1.1374916163648559</v>
      </c>
      <c r="AA223" s="179">
        <f t="shared" si="347"/>
        <v>2.1462105969148224</v>
      </c>
      <c r="AB223" s="179">
        <f t="shared" si="348"/>
        <v>0.96366969510948308</v>
      </c>
      <c r="AC223" s="179"/>
      <c r="AD223" s="179">
        <f t="shared" si="349"/>
        <v>0.5660377358490567</v>
      </c>
      <c r="AE223" s="563">
        <f t="shared" si="350"/>
        <v>274.81481481481478</v>
      </c>
      <c r="AF223" s="546">
        <f t="shared" si="351"/>
        <v>8.9150943396226423E-2</v>
      </c>
      <c r="AH223" s="179">
        <f t="shared" si="352"/>
        <v>0.29776948578836393</v>
      </c>
      <c r="AI223" s="179">
        <f t="shared" si="353"/>
        <v>0.3</v>
      </c>
      <c r="AJ223" s="179">
        <f t="shared" si="354"/>
        <v>1.1570370370370371</v>
      </c>
      <c r="AL223" s="563">
        <f t="shared" si="355"/>
        <v>70</v>
      </c>
      <c r="AM223" s="472">
        <f t="shared" si="356"/>
        <v>274.81481481481478</v>
      </c>
      <c r="AO223">
        <f t="shared" si="357"/>
        <v>70</v>
      </c>
      <c r="AP223">
        <f t="shared" si="358"/>
        <v>274.81481481481478</v>
      </c>
      <c r="AR223" s="6">
        <f t="shared" si="322"/>
        <v>3.6388140161725073</v>
      </c>
      <c r="AS223" s="6">
        <f t="shared" si="313"/>
        <v>0.1875</v>
      </c>
      <c r="AT223" s="6">
        <f t="shared" si="314"/>
        <v>3.4513140161725073</v>
      </c>
      <c r="AU223" s="179">
        <f t="shared" si="315"/>
        <v>5.152777777777777E-2</v>
      </c>
      <c r="CD223" s="581">
        <f t="shared" si="359"/>
        <v>-50</v>
      </c>
    </row>
    <row r="224" spans="5:83" x14ac:dyDescent="0.2">
      <c r="E224" s="176">
        <v>8</v>
      </c>
      <c r="F224" s="223">
        <f t="shared" si="360"/>
        <v>0.08</v>
      </c>
      <c r="G224" s="223">
        <f t="shared" si="329"/>
        <v>0.04</v>
      </c>
      <c r="H224" s="223">
        <f t="shared" si="330"/>
        <v>0.4</v>
      </c>
      <c r="I224" s="223">
        <f t="shared" si="331"/>
        <v>0.13200000000000001</v>
      </c>
      <c r="J224" s="559">
        <f t="shared" si="332"/>
        <v>48</v>
      </c>
      <c r="K224" s="454">
        <f t="shared" si="333"/>
        <v>15.899999999999999</v>
      </c>
      <c r="L224" s="454">
        <f t="shared" si="334"/>
        <v>63.9</v>
      </c>
      <c r="M224" s="454"/>
      <c r="N224" s="223">
        <f t="shared" si="335"/>
        <v>0.24882629107981219</v>
      </c>
      <c r="O224" s="178">
        <f t="shared" si="336"/>
        <v>6.0616329556285065</v>
      </c>
      <c r="P224" s="178">
        <f t="shared" si="337"/>
        <v>2.6604507042253513</v>
      </c>
      <c r="Q224" s="223">
        <f t="shared" si="338"/>
        <v>1.2123265911257013</v>
      </c>
      <c r="R224" s="223">
        <f t="shared" si="339"/>
        <v>1.8368584714025777</v>
      </c>
      <c r="S224" s="223">
        <f t="shared" si="340"/>
        <v>5</v>
      </c>
      <c r="T224" s="223">
        <f t="shared" si="341"/>
        <v>9.8983228511530408E-2</v>
      </c>
      <c r="U224" s="223">
        <f t="shared" si="342"/>
        <v>6.1864517819706512E-2</v>
      </c>
      <c r="V224" s="223">
        <f t="shared" si="343"/>
        <v>0.18676080851232155</v>
      </c>
      <c r="W224" s="203">
        <f t="shared" si="344"/>
        <v>350</v>
      </c>
      <c r="X224" s="454">
        <f t="shared" si="345"/>
        <v>350</v>
      </c>
      <c r="Z224" s="223">
        <f t="shared" si="346"/>
        <v>1.1374916163648559</v>
      </c>
      <c r="AA224" s="179">
        <f t="shared" si="347"/>
        <v>2.1462105969148224</v>
      </c>
      <c r="AB224" s="179">
        <f t="shared" si="348"/>
        <v>0.96366969510948308</v>
      </c>
      <c r="AC224" s="179"/>
      <c r="AD224" s="179">
        <f t="shared" si="349"/>
        <v>0.5660377358490567</v>
      </c>
      <c r="AE224" s="563">
        <f t="shared" si="350"/>
        <v>314.07407407407402</v>
      </c>
      <c r="AF224" s="546">
        <f t="shared" si="351"/>
        <v>8.9150943396226423E-2</v>
      </c>
      <c r="AH224" s="179">
        <f t="shared" si="352"/>
        <v>0.31832897030168861</v>
      </c>
      <c r="AI224" s="179">
        <f t="shared" si="353"/>
        <v>0.31832897030168861</v>
      </c>
      <c r="AJ224" s="179">
        <f t="shared" si="354"/>
        <v>1.1794708994708993</v>
      </c>
      <c r="AL224" s="563">
        <f t="shared" si="355"/>
        <v>80</v>
      </c>
      <c r="AM224" s="472">
        <f t="shared" si="356"/>
        <v>314.07407407407402</v>
      </c>
      <c r="AO224">
        <f t="shared" si="357"/>
        <v>80</v>
      </c>
      <c r="AP224">
        <f t="shared" si="358"/>
        <v>314.07407407407402</v>
      </c>
      <c r="AR224" s="6">
        <f t="shared" si="322"/>
        <v>3.183962264150944</v>
      </c>
      <c r="AS224" s="6">
        <f t="shared" si="313"/>
        <v>0.19895560643855539</v>
      </c>
      <c r="AT224" s="6">
        <f t="shared" si="314"/>
        <v>2.9850066577123884</v>
      </c>
      <c r="AU224" s="179">
        <f t="shared" si="315"/>
        <v>6.2486797874035167E-2</v>
      </c>
      <c r="CD224" s="581">
        <f t="shared" si="359"/>
        <v>-50</v>
      </c>
    </row>
    <row r="225" spans="5:82" x14ac:dyDescent="0.2">
      <c r="E225" s="176">
        <v>9</v>
      </c>
      <c r="F225" s="223">
        <f t="shared" si="360"/>
        <v>0.09</v>
      </c>
      <c r="G225" s="223">
        <f t="shared" si="329"/>
        <v>4.4999999999999998E-2</v>
      </c>
      <c r="H225" s="223">
        <f t="shared" si="330"/>
        <v>0.44999999999999996</v>
      </c>
      <c r="I225" s="223">
        <f t="shared" si="331"/>
        <v>0.14849999999999999</v>
      </c>
      <c r="J225" s="559">
        <f t="shared" si="332"/>
        <v>48</v>
      </c>
      <c r="K225" s="454">
        <f t="shared" si="333"/>
        <v>15.899999999999999</v>
      </c>
      <c r="L225" s="454">
        <f t="shared" si="334"/>
        <v>63.9</v>
      </c>
      <c r="M225" s="454"/>
      <c r="N225" s="223">
        <f t="shared" si="335"/>
        <v>0.24882629107981219</v>
      </c>
      <c r="O225" s="178">
        <f t="shared" si="336"/>
        <v>6.0616329556285065</v>
      </c>
      <c r="P225" s="178">
        <f t="shared" si="337"/>
        <v>2.6604507042253513</v>
      </c>
      <c r="Q225" s="223">
        <f t="shared" si="338"/>
        <v>1.2123265911257013</v>
      </c>
      <c r="R225" s="223">
        <f t="shared" si="339"/>
        <v>1.8368584714025777</v>
      </c>
      <c r="S225" s="223">
        <f t="shared" si="340"/>
        <v>5</v>
      </c>
      <c r="T225" s="223">
        <f t="shared" si="341"/>
        <v>0.11135613207547168</v>
      </c>
      <c r="U225" s="223">
        <f t="shared" si="342"/>
        <v>6.9597582547169801E-2</v>
      </c>
      <c r="V225" s="223">
        <f t="shared" si="343"/>
        <v>0.21010590957636169</v>
      </c>
      <c r="W225" s="203">
        <f t="shared" si="344"/>
        <v>350</v>
      </c>
      <c r="X225" s="454">
        <f t="shared" si="345"/>
        <v>350</v>
      </c>
      <c r="Z225" s="223">
        <f t="shared" si="346"/>
        <v>1.1374916163648559</v>
      </c>
      <c r="AA225" s="179">
        <f t="shared" si="347"/>
        <v>2.1462105969148224</v>
      </c>
      <c r="AB225" s="179">
        <f t="shared" si="348"/>
        <v>0.96366969510948308</v>
      </c>
      <c r="AC225" s="179"/>
      <c r="AD225" s="179">
        <f t="shared" si="349"/>
        <v>0.5660377358490567</v>
      </c>
      <c r="AE225" s="563">
        <f t="shared" si="350"/>
        <v>353.33333333333326</v>
      </c>
      <c r="AF225" s="546">
        <f t="shared" si="351"/>
        <v>8.9150943396226423E-2</v>
      </c>
      <c r="AH225" s="179">
        <f t="shared" si="352"/>
        <v>0.33763886032268264</v>
      </c>
      <c r="AI225" s="179">
        <f t="shared" si="353"/>
        <v>0.33763886032268264</v>
      </c>
      <c r="AJ225" s="179">
        <f t="shared" si="354"/>
        <v>1.2278806372760611</v>
      </c>
      <c r="AL225" s="563">
        <f t="shared" si="355"/>
        <v>90</v>
      </c>
      <c r="AM225" s="472">
        <f t="shared" si="356"/>
        <v>350</v>
      </c>
      <c r="AO225">
        <f t="shared" si="357"/>
        <v>90</v>
      </c>
      <c r="AP225">
        <f t="shared" si="358"/>
        <v>350</v>
      </c>
      <c r="AR225" s="6">
        <f t="shared" si="322"/>
        <v>2.8571428571428572</v>
      </c>
      <c r="AS225" s="6">
        <f t="shared" si="313"/>
        <v>0.21102428770167667</v>
      </c>
      <c r="AT225" s="6">
        <f t="shared" si="314"/>
        <v>2.6461185694411804</v>
      </c>
      <c r="AU225" s="179">
        <f t="shared" si="315"/>
        <v>7.3858500695586832E-2</v>
      </c>
      <c r="CD225" s="581">
        <f t="shared" si="359"/>
        <v>-50</v>
      </c>
    </row>
    <row r="226" spans="5:82" x14ac:dyDescent="0.2">
      <c r="E226" s="176">
        <v>10</v>
      </c>
      <c r="F226" s="223">
        <f t="shared" si="360"/>
        <v>0.1</v>
      </c>
      <c r="G226" s="223">
        <f t="shared" si="329"/>
        <v>0.05</v>
      </c>
      <c r="H226" s="223">
        <f t="shared" si="330"/>
        <v>0.5</v>
      </c>
      <c r="I226" s="223">
        <f t="shared" si="331"/>
        <v>0.16500000000000001</v>
      </c>
      <c r="J226" s="559">
        <f t="shared" si="332"/>
        <v>48</v>
      </c>
      <c r="K226" s="454">
        <f t="shared" si="333"/>
        <v>15.899999999999999</v>
      </c>
      <c r="L226" s="454">
        <f t="shared" si="334"/>
        <v>63.9</v>
      </c>
      <c r="M226" s="454"/>
      <c r="N226" s="223">
        <f t="shared" si="335"/>
        <v>0.24882629107981219</v>
      </c>
      <c r="O226" s="178">
        <f t="shared" si="336"/>
        <v>6.0616329556285065</v>
      </c>
      <c r="P226" s="178">
        <f t="shared" si="337"/>
        <v>2.6604507042253513</v>
      </c>
      <c r="Q226" s="223">
        <f t="shared" si="338"/>
        <v>1.2123265911257013</v>
      </c>
      <c r="R226" s="223">
        <f t="shared" si="339"/>
        <v>1.8368584714025777</v>
      </c>
      <c r="S226" s="223">
        <f t="shared" si="340"/>
        <v>5</v>
      </c>
      <c r="T226" s="223">
        <f t="shared" si="341"/>
        <v>0.12372903563941301</v>
      </c>
      <c r="U226" s="223">
        <f t="shared" si="342"/>
        <v>7.7330647274633138E-2</v>
      </c>
      <c r="V226" s="223">
        <f t="shared" si="343"/>
        <v>0.23345101064040194</v>
      </c>
      <c r="W226" s="203">
        <f t="shared" si="344"/>
        <v>350</v>
      </c>
      <c r="X226" s="454">
        <f t="shared" si="345"/>
        <v>350</v>
      </c>
      <c r="Z226" s="223">
        <f t="shared" si="346"/>
        <v>1.1374916163648559</v>
      </c>
      <c r="AA226" s="179">
        <f t="shared" si="347"/>
        <v>2.1462105969148224</v>
      </c>
      <c r="AB226" s="179">
        <f t="shared" si="348"/>
        <v>0.96366969510948308</v>
      </c>
      <c r="AC226" s="179"/>
      <c r="AD226" s="179">
        <f t="shared" si="349"/>
        <v>0.5660377358490567</v>
      </c>
      <c r="AE226" s="563">
        <f t="shared" si="350"/>
        <v>392.59259259259255</v>
      </c>
      <c r="AF226" s="546">
        <f t="shared" si="351"/>
        <v>8.9150943396226423E-2</v>
      </c>
      <c r="AH226" s="179">
        <f t="shared" si="352"/>
        <v>0.35590260840104371</v>
      </c>
      <c r="AI226" s="179">
        <f t="shared" si="353"/>
        <v>0.35590260840104371</v>
      </c>
      <c r="AJ226" s="179">
        <f t="shared" si="354"/>
        <v>1.2414093395563286</v>
      </c>
      <c r="AL226" s="563">
        <f t="shared" si="355"/>
        <v>100</v>
      </c>
      <c r="AM226" s="472">
        <f t="shared" si="356"/>
        <v>350</v>
      </c>
      <c r="AO226">
        <f t="shared" si="357"/>
        <v>100</v>
      </c>
      <c r="AP226">
        <f t="shared" si="358"/>
        <v>350</v>
      </c>
      <c r="AR226" s="6">
        <f t="shared" si="322"/>
        <v>2.8571428571428572</v>
      </c>
      <c r="AS226" s="6">
        <f t="shared" si="313"/>
        <v>0.22243913025065232</v>
      </c>
      <c r="AT226" s="6">
        <f t="shared" si="314"/>
        <v>2.6347037268922051</v>
      </c>
      <c r="AU226" s="179">
        <f t="shared" si="315"/>
        <v>7.7853695587728311E-2</v>
      </c>
      <c r="CD226" s="581">
        <f t="shared" si="359"/>
        <v>-50</v>
      </c>
    </row>
    <row r="227" spans="5:82" x14ac:dyDescent="0.2">
      <c r="E227" s="176">
        <v>11</v>
      </c>
      <c r="F227" s="223">
        <f t="shared" si="360"/>
        <v>0.11</v>
      </c>
      <c r="G227" s="223">
        <f t="shared" si="329"/>
        <v>5.5E-2</v>
      </c>
      <c r="H227" s="223">
        <f t="shared" si="330"/>
        <v>0.55000000000000004</v>
      </c>
      <c r="I227" s="223">
        <f t="shared" si="331"/>
        <v>0.18149999999999999</v>
      </c>
      <c r="J227" s="559">
        <f t="shared" si="332"/>
        <v>48</v>
      </c>
      <c r="K227" s="454">
        <f t="shared" si="333"/>
        <v>15.899999999999999</v>
      </c>
      <c r="L227" s="454">
        <f t="shared" si="334"/>
        <v>63.9</v>
      </c>
      <c r="M227" s="454"/>
      <c r="N227" s="223">
        <f t="shared" si="335"/>
        <v>0.24882629107981219</v>
      </c>
      <c r="O227" s="178">
        <f t="shared" si="336"/>
        <v>6.0616329556285065</v>
      </c>
      <c r="P227" s="178">
        <f t="shared" si="337"/>
        <v>2.6604507042253513</v>
      </c>
      <c r="Q227" s="223">
        <f t="shared" si="338"/>
        <v>1.2123265911257013</v>
      </c>
      <c r="R227" s="223">
        <f t="shared" si="339"/>
        <v>1.8368584714025777</v>
      </c>
      <c r="S227" s="223">
        <f t="shared" si="340"/>
        <v>5</v>
      </c>
      <c r="T227" s="223">
        <f t="shared" si="341"/>
        <v>0.13610193920335431</v>
      </c>
      <c r="U227" s="223">
        <f t="shared" si="342"/>
        <v>8.5063712002096434E-2</v>
      </c>
      <c r="V227" s="223">
        <f t="shared" si="343"/>
        <v>0.25679611170444211</v>
      </c>
      <c r="W227" s="203">
        <f t="shared" si="344"/>
        <v>350</v>
      </c>
      <c r="X227" s="454">
        <f t="shared" si="345"/>
        <v>350</v>
      </c>
      <c r="Z227" s="223">
        <f t="shared" si="346"/>
        <v>1.1374916163648559</v>
      </c>
      <c r="AA227" s="179">
        <f t="shared" si="347"/>
        <v>2.1462105969148224</v>
      </c>
      <c r="AB227" s="179">
        <f t="shared" si="348"/>
        <v>0.96366969510948308</v>
      </c>
      <c r="AC227" s="179"/>
      <c r="AD227" s="179">
        <f t="shared" si="349"/>
        <v>0.5660377358490567</v>
      </c>
      <c r="AE227" s="563">
        <f t="shared" si="350"/>
        <v>431.85185185185185</v>
      </c>
      <c r="AF227" s="546">
        <f t="shared" si="351"/>
        <v>8.9150943396226423E-2</v>
      </c>
      <c r="AH227" s="179">
        <f t="shared" si="352"/>
        <v>0.37327380477785116</v>
      </c>
      <c r="AI227" s="179">
        <f t="shared" si="353"/>
        <v>0.37327380477785116</v>
      </c>
      <c r="AJ227" s="179">
        <f t="shared" si="354"/>
        <v>1.2542768924280379</v>
      </c>
      <c r="AL227" s="563">
        <f t="shared" si="355"/>
        <v>110</v>
      </c>
      <c r="AM227" s="472">
        <f t="shared" si="356"/>
        <v>350</v>
      </c>
      <c r="AO227">
        <f t="shared" si="357"/>
        <v>110</v>
      </c>
      <c r="AP227">
        <f t="shared" si="358"/>
        <v>350</v>
      </c>
      <c r="AR227" s="6">
        <f t="shared" si="322"/>
        <v>2.8571428571428572</v>
      </c>
      <c r="AS227" s="6">
        <f t="shared" si="313"/>
        <v>0.23329612798615695</v>
      </c>
      <c r="AT227" s="6">
        <f t="shared" si="314"/>
        <v>2.6238467291567003</v>
      </c>
      <c r="AU227" s="179">
        <f t="shared" si="315"/>
        <v>8.1653644795154925E-2</v>
      </c>
      <c r="CD227" s="581">
        <f t="shared" si="359"/>
        <v>-50</v>
      </c>
    </row>
    <row r="228" spans="5:82" x14ac:dyDescent="0.2">
      <c r="E228" s="176">
        <v>12</v>
      </c>
      <c r="F228" s="223">
        <f t="shared" si="360"/>
        <v>0.12</v>
      </c>
      <c r="G228" s="223">
        <f t="shared" si="329"/>
        <v>0.06</v>
      </c>
      <c r="H228" s="223">
        <f t="shared" si="330"/>
        <v>0.6</v>
      </c>
      <c r="I228" s="223">
        <f t="shared" si="331"/>
        <v>0.19799999999999998</v>
      </c>
      <c r="J228" s="559">
        <f t="shared" si="332"/>
        <v>48</v>
      </c>
      <c r="K228" s="454">
        <f t="shared" si="333"/>
        <v>15.899999999999999</v>
      </c>
      <c r="L228" s="454">
        <f t="shared" si="334"/>
        <v>63.9</v>
      </c>
      <c r="M228" s="454"/>
      <c r="N228" s="223">
        <f t="shared" si="335"/>
        <v>0.24882629107981219</v>
      </c>
      <c r="O228" s="178">
        <f t="shared" si="336"/>
        <v>6.0616329556285065</v>
      </c>
      <c r="P228" s="178">
        <f t="shared" si="337"/>
        <v>2.6604507042253513</v>
      </c>
      <c r="Q228" s="223">
        <f t="shared" si="338"/>
        <v>1.2123265911257013</v>
      </c>
      <c r="R228" s="223">
        <f t="shared" si="339"/>
        <v>1.8368584714025777</v>
      </c>
      <c r="S228" s="223">
        <f t="shared" si="340"/>
        <v>5</v>
      </c>
      <c r="T228" s="223">
        <f t="shared" si="341"/>
        <v>0.14847484276729558</v>
      </c>
      <c r="U228" s="223">
        <f t="shared" si="342"/>
        <v>9.279677672955973E-2</v>
      </c>
      <c r="V228" s="223">
        <f t="shared" si="343"/>
        <v>0.28014121276848225</v>
      </c>
      <c r="W228" s="203">
        <f t="shared" si="344"/>
        <v>350</v>
      </c>
      <c r="X228" s="454">
        <f t="shared" si="345"/>
        <v>350</v>
      </c>
      <c r="Z228" s="223">
        <f t="shared" si="346"/>
        <v>1.1374916163648559</v>
      </c>
      <c r="AA228" s="179">
        <f t="shared" si="347"/>
        <v>2.1462105969148224</v>
      </c>
      <c r="AB228" s="179">
        <f t="shared" si="348"/>
        <v>0.96366969510948308</v>
      </c>
      <c r="AC228" s="179"/>
      <c r="AD228" s="179">
        <f t="shared" si="349"/>
        <v>0.5660377358490567</v>
      </c>
      <c r="AE228" s="563">
        <f t="shared" si="350"/>
        <v>471.11111111111103</v>
      </c>
      <c r="AF228" s="546">
        <f t="shared" si="351"/>
        <v>8.9150943396226423E-2</v>
      </c>
      <c r="AH228" s="179">
        <f t="shared" si="352"/>
        <v>0.38987177379235854</v>
      </c>
      <c r="AI228" s="179">
        <f t="shared" si="353"/>
        <v>0.38987177379235854</v>
      </c>
      <c r="AJ228" s="179">
        <f t="shared" si="354"/>
        <v>1.2665716842906358</v>
      </c>
      <c r="AL228" s="563">
        <f t="shared" si="355"/>
        <v>120</v>
      </c>
      <c r="AM228" s="472">
        <f t="shared" si="356"/>
        <v>350</v>
      </c>
      <c r="AO228">
        <f t="shared" si="357"/>
        <v>120</v>
      </c>
      <c r="AP228">
        <f t="shared" si="358"/>
        <v>350</v>
      </c>
      <c r="AR228" s="6">
        <f t="shared" si="322"/>
        <v>2.8571428571428572</v>
      </c>
      <c r="AS228" s="6">
        <f t="shared" si="313"/>
        <v>0.24366985862022408</v>
      </c>
      <c r="AT228" s="6">
        <f t="shared" si="314"/>
        <v>2.6134729985226333</v>
      </c>
      <c r="AU228" s="179">
        <f t="shared" si="315"/>
        <v>8.5284450517078433E-2</v>
      </c>
      <c r="CD228" s="581">
        <f t="shared" si="359"/>
        <v>-50</v>
      </c>
    </row>
    <row r="229" spans="5:82" x14ac:dyDescent="0.2">
      <c r="E229" s="176">
        <v>13</v>
      </c>
      <c r="F229" s="223">
        <f t="shared" si="360"/>
        <v>0.13</v>
      </c>
      <c r="G229" s="223">
        <f t="shared" si="329"/>
        <v>6.5000000000000002E-2</v>
      </c>
      <c r="H229" s="223">
        <f t="shared" si="330"/>
        <v>0.65</v>
      </c>
      <c r="I229" s="223">
        <f t="shared" si="331"/>
        <v>0.2145</v>
      </c>
      <c r="J229" s="559">
        <f t="shared" si="332"/>
        <v>48</v>
      </c>
      <c r="K229" s="454">
        <f t="shared" si="333"/>
        <v>15.899999999999999</v>
      </c>
      <c r="L229" s="454">
        <f t="shared" si="334"/>
        <v>63.9</v>
      </c>
      <c r="M229" s="454"/>
      <c r="N229" s="223">
        <f t="shared" si="335"/>
        <v>0.24882629107981219</v>
      </c>
      <c r="O229" s="178">
        <f t="shared" si="336"/>
        <v>6.0616329556285065</v>
      </c>
      <c r="P229" s="178">
        <f t="shared" si="337"/>
        <v>2.6604507042253513</v>
      </c>
      <c r="Q229" s="223">
        <f t="shared" si="338"/>
        <v>1.2123265911257013</v>
      </c>
      <c r="R229" s="223">
        <f t="shared" si="339"/>
        <v>1.8368584714025777</v>
      </c>
      <c r="S229" s="223">
        <f t="shared" si="340"/>
        <v>5</v>
      </c>
      <c r="T229" s="223">
        <f t="shared" si="341"/>
        <v>0.16084774633123691</v>
      </c>
      <c r="U229" s="223">
        <f t="shared" si="342"/>
        <v>0.10052984145702307</v>
      </c>
      <c r="V229" s="223">
        <f t="shared" si="343"/>
        <v>0.3034863138325225</v>
      </c>
      <c r="W229" s="203">
        <f t="shared" si="344"/>
        <v>350</v>
      </c>
      <c r="X229" s="454">
        <f t="shared" si="345"/>
        <v>350</v>
      </c>
      <c r="Z229" s="223">
        <f t="shared" si="346"/>
        <v>1.1374916163648559</v>
      </c>
      <c r="AA229" s="179">
        <f t="shared" si="347"/>
        <v>2.1462105969148224</v>
      </c>
      <c r="AB229" s="179">
        <f t="shared" si="348"/>
        <v>0.96366969510948308</v>
      </c>
      <c r="AC229" s="179"/>
      <c r="AD229" s="179">
        <f t="shared" si="349"/>
        <v>0.5660377358490567</v>
      </c>
      <c r="AE229" s="563">
        <f t="shared" si="350"/>
        <v>510.37037037037027</v>
      </c>
      <c r="AF229" s="546">
        <f t="shared" si="351"/>
        <v>8.9150943396226423E-2</v>
      </c>
      <c r="AH229" s="179">
        <f t="shared" si="352"/>
        <v>0.40579140782755208</v>
      </c>
      <c r="AI229" s="179">
        <f t="shared" si="353"/>
        <v>0.40579140782755208</v>
      </c>
      <c r="AJ229" s="179">
        <f t="shared" si="354"/>
        <v>1.2783640057981867</v>
      </c>
      <c r="AL229" s="563">
        <f t="shared" si="355"/>
        <v>130</v>
      </c>
      <c r="AM229" s="472">
        <f t="shared" si="356"/>
        <v>350</v>
      </c>
      <c r="AO229">
        <f t="shared" si="357"/>
        <v>130</v>
      </c>
      <c r="AP229">
        <f t="shared" si="358"/>
        <v>350</v>
      </c>
      <c r="AR229" s="6">
        <f t="shared" si="322"/>
        <v>2.8571428571428572</v>
      </c>
      <c r="AS229" s="6">
        <f t="shared" si="313"/>
        <v>0.25361962989222003</v>
      </c>
      <c r="AT229" s="6">
        <f t="shared" si="314"/>
        <v>2.603523227250637</v>
      </c>
      <c r="AU229" s="179">
        <f t="shared" si="315"/>
        <v>8.8766870462277006E-2</v>
      </c>
      <c r="CD229" s="581">
        <f t="shared" si="359"/>
        <v>-50</v>
      </c>
    </row>
    <row r="230" spans="5:82" x14ac:dyDescent="0.2">
      <c r="E230" s="176">
        <v>14</v>
      </c>
      <c r="F230" s="223">
        <f t="shared" si="360"/>
        <v>0.14000000000000001</v>
      </c>
      <c r="G230" s="223">
        <f t="shared" si="329"/>
        <v>7.0000000000000007E-2</v>
      </c>
      <c r="H230" s="223">
        <f t="shared" si="330"/>
        <v>0.70000000000000007</v>
      </c>
      <c r="I230" s="223">
        <f t="shared" si="331"/>
        <v>0.23100000000000001</v>
      </c>
      <c r="J230" s="559">
        <f t="shared" si="332"/>
        <v>48</v>
      </c>
      <c r="K230" s="454">
        <f t="shared" si="333"/>
        <v>15.899999999999999</v>
      </c>
      <c r="L230" s="454">
        <f t="shared" si="334"/>
        <v>63.9</v>
      </c>
      <c r="M230" s="454"/>
      <c r="N230" s="223">
        <f t="shared" si="335"/>
        <v>0.24882629107981219</v>
      </c>
      <c r="O230" s="178">
        <f t="shared" si="336"/>
        <v>6.0616329556285065</v>
      </c>
      <c r="P230" s="178">
        <f t="shared" si="337"/>
        <v>2.6604507042253513</v>
      </c>
      <c r="Q230" s="223">
        <f t="shared" si="338"/>
        <v>1.2123265911257013</v>
      </c>
      <c r="R230" s="223">
        <f t="shared" si="339"/>
        <v>1.8368584714025777</v>
      </c>
      <c r="S230" s="223">
        <f t="shared" si="340"/>
        <v>5</v>
      </c>
      <c r="T230" s="223">
        <f t="shared" si="341"/>
        <v>0.17322064989517821</v>
      </c>
      <c r="U230" s="223">
        <f t="shared" si="342"/>
        <v>0.10826290618448638</v>
      </c>
      <c r="V230" s="223">
        <f t="shared" si="343"/>
        <v>0.3268314148965627</v>
      </c>
      <c r="W230" s="203">
        <f t="shared" si="344"/>
        <v>350</v>
      </c>
      <c r="X230" s="454">
        <f t="shared" si="345"/>
        <v>350</v>
      </c>
      <c r="Z230" s="223">
        <f t="shared" si="346"/>
        <v>1.1374916163648559</v>
      </c>
      <c r="AA230" s="179">
        <f t="shared" si="347"/>
        <v>2.1462105969148224</v>
      </c>
      <c r="AB230" s="179">
        <f t="shared" si="348"/>
        <v>0.96366969510948308</v>
      </c>
      <c r="AC230" s="179"/>
      <c r="AD230" s="179">
        <f t="shared" si="349"/>
        <v>0.5660377358490567</v>
      </c>
      <c r="AE230" s="563">
        <f t="shared" si="350"/>
        <v>549.62962962962956</v>
      </c>
      <c r="AF230" s="546">
        <f t="shared" si="351"/>
        <v>8.9150943396226423E-2</v>
      </c>
      <c r="AH230" s="179">
        <f t="shared" si="352"/>
        <v>0.42110964526276684</v>
      </c>
      <c r="AI230" s="179">
        <f t="shared" si="353"/>
        <v>0.42110964526276684</v>
      </c>
      <c r="AJ230" s="179">
        <f t="shared" si="354"/>
        <v>1.2897108483427902</v>
      </c>
      <c r="AL230" s="563">
        <f t="shared" si="355"/>
        <v>140</v>
      </c>
      <c r="AM230" s="472">
        <f t="shared" si="356"/>
        <v>350</v>
      </c>
      <c r="AO230">
        <f t="shared" si="357"/>
        <v>140</v>
      </c>
      <c r="AP230">
        <f t="shared" si="358"/>
        <v>350</v>
      </c>
      <c r="AR230" s="6">
        <f t="shared" si="322"/>
        <v>2.8571428571428572</v>
      </c>
      <c r="AS230" s="6">
        <f t="shared" si="313"/>
        <v>0.26319352828922932</v>
      </c>
      <c r="AT230" s="6">
        <f t="shared" si="314"/>
        <v>2.5939493288536277</v>
      </c>
      <c r="AU230" s="179">
        <f t="shared" si="315"/>
        <v>9.2117734901230264E-2</v>
      </c>
      <c r="CD230" s="581">
        <f t="shared" si="359"/>
        <v>-50</v>
      </c>
    </row>
    <row r="231" spans="5:82" x14ac:dyDescent="0.2">
      <c r="E231" s="176">
        <v>15</v>
      </c>
      <c r="F231" s="223">
        <f t="shared" si="360"/>
        <v>0.15</v>
      </c>
      <c r="G231" s="223">
        <f t="shared" si="329"/>
        <v>7.4999999999999997E-2</v>
      </c>
      <c r="H231" s="223">
        <f t="shared" si="330"/>
        <v>0.75</v>
      </c>
      <c r="I231" s="223">
        <f t="shared" si="331"/>
        <v>0.24749999999999997</v>
      </c>
      <c r="J231" s="559">
        <f t="shared" si="332"/>
        <v>48</v>
      </c>
      <c r="K231" s="454">
        <f t="shared" si="333"/>
        <v>15.899999999999999</v>
      </c>
      <c r="L231" s="454">
        <f t="shared" si="334"/>
        <v>63.9</v>
      </c>
      <c r="M231" s="454"/>
      <c r="N231" s="223">
        <f t="shared" si="335"/>
        <v>0.24882629107981219</v>
      </c>
      <c r="O231" s="178">
        <f t="shared" si="336"/>
        <v>6.0616329556285065</v>
      </c>
      <c r="P231" s="178">
        <f t="shared" si="337"/>
        <v>2.6604507042253513</v>
      </c>
      <c r="Q231" s="223">
        <f t="shared" si="338"/>
        <v>1.2123265911257013</v>
      </c>
      <c r="R231" s="223">
        <f t="shared" si="339"/>
        <v>1.8368584714025777</v>
      </c>
      <c r="S231" s="223">
        <f t="shared" si="340"/>
        <v>5</v>
      </c>
      <c r="T231" s="223">
        <f t="shared" si="341"/>
        <v>0.18559355345911949</v>
      </c>
      <c r="U231" s="223">
        <f t="shared" si="342"/>
        <v>0.11599597091194969</v>
      </c>
      <c r="V231" s="223">
        <f t="shared" si="343"/>
        <v>0.35017651596060284</v>
      </c>
      <c r="W231" s="203">
        <f t="shared" si="344"/>
        <v>350</v>
      </c>
      <c r="X231" s="454">
        <f t="shared" si="345"/>
        <v>350</v>
      </c>
      <c r="Z231" s="223">
        <f t="shared" si="346"/>
        <v>1.1374916163648559</v>
      </c>
      <c r="AA231" s="179">
        <f t="shared" si="347"/>
        <v>2.1462105969148224</v>
      </c>
      <c r="AB231" s="179">
        <f t="shared" si="348"/>
        <v>0.96366969510948308</v>
      </c>
      <c r="AC231" s="179"/>
      <c r="AD231" s="179">
        <f t="shared" si="349"/>
        <v>0.5660377358490567</v>
      </c>
      <c r="AE231" s="563">
        <f t="shared" si="350"/>
        <v>588.8888888888888</v>
      </c>
      <c r="AF231" s="546">
        <f t="shared" si="351"/>
        <v>8.9150943396226423E-2</v>
      </c>
      <c r="AH231" s="179">
        <f t="shared" si="352"/>
        <v>0.43588989435406733</v>
      </c>
      <c r="AI231" s="179">
        <f t="shared" si="353"/>
        <v>0.43588989435406733</v>
      </c>
      <c r="AJ231" s="179">
        <f t="shared" si="354"/>
        <v>1.3006591810030128</v>
      </c>
      <c r="AL231" s="563">
        <f t="shared" si="355"/>
        <v>150</v>
      </c>
      <c r="AM231" s="472">
        <f t="shared" si="356"/>
        <v>350</v>
      </c>
      <c r="AO231">
        <f t="shared" si="357"/>
        <v>150</v>
      </c>
      <c r="AP231">
        <f t="shared" si="358"/>
        <v>350</v>
      </c>
      <c r="AR231" s="6">
        <f t="shared" si="322"/>
        <v>2.8571428571428572</v>
      </c>
      <c r="AS231" s="6">
        <f t="shared" si="313"/>
        <v>0.27243118397129207</v>
      </c>
      <c r="AT231" s="6">
        <f t="shared" si="314"/>
        <v>2.5847116731715651</v>
      </c>
      <c r="AU231" s="179">
        <f t="shared" si="315"/>
        <v>9.5350914389952218E-2</v>
      </c>
      <c r="CD231" s="581">
        <f t="shared" si="359"/>
        <v>-50</v>
      </c>
    </row>
    <row r="232" spans="5:82" x14ac:dyDescent="0.2">
      <c r="E232" s="176">
        <v>16</v>
      </c>
      <c r="F232" s="223">
        <f t="shared" si="360"/>
        <v>0.16</v>
      </c>
      <c r="G232" s="223">
        <f t="shared" si="329"/>
        <v>0.08</v>
      </c>
      <c r="H232" s="223">
        <f t="shared" si="330"/>
        <v>0.8</v>
      </c>
      <c r="I232" s="223">
        <f t="shared" si="331"/>
        <v>0.26400000000000001</v>
      </c>
      <c r="J232" s="559">
        <f t="shared" si="332"/>
        <v>48</v>
      </c>
      <c r="K232" s="454">
        <f t="shared" si="333"/>
        <v>15.899999999999999</v>
      </c>
      <c r="L232" s="454">
        <f t="shared" si="334"/>
        <v>63.9</v>
      </c>
      <c r="M232" s="454"/>
      <c r="N232" s="223">
        <f t="shared" si="335"/>
        <v>0.24882629107981219</v>
      </c>
      <c r="O232" s="178">
        <f t="shared" si="336"/>
        <v>6.0616329556285065</v>
      </c>
      <c r="P232" s="178">
        <f t="shared" si="337"/>
        <v>2.6604507042253513</v>
      </c>
      <c r="Q232" s="223">
        <f t="shared" si="338"/>
        <v>1.2123265911257013</v>
      </c>
      <c r="R232" s="223">
        <f t="shared" si="339"/>
        <v>1.8368584714025777</v>
      </c>
      <c r="S232" s="223">
        <f t="shared" si="340"/>
        <v>5</v>
      </c>
      <c r="T232" s="223">
        <f t="shared" si="341"/>
        <v>0.19796645702306082</v>
      </c>
      <c r="U232" s="223">
        <f t="shared" si="342"/>
        <v>0.12372903563941302</v>
      </c>
      <c r="V232" s="223">
        <f t="shared" si="343"/>
        <v>0.37352161702464309</v>
      </c>
      <c r="W232" s="203">
        <f t="shared" si="344"/>
        <v>350</v>
      </c>
      <c r="X232" s="454">
        <f t="shared" si="345"/>
        <v>350</v>
      </c>
      <c r="Z232" s="223">
        <f t="shared" si="346"/>
        <v>1.1374916163648559</v>
      </c>
      <c r="AA232" s="179">
        <f t="shared" si="347"/>
        <v>2.1462105969148224</v>
      </c>
      <c r="AB232" s="179">
        <f t="shared" si="348"/>
        <v>0.96366969510948308</v>
      </c>
      <c r="AC232" s="179"/>
      <c r="AD232" s="179">
        <f t="shared" si="349"/>
        <v>0.5660377358490567</v>
      </c>
      <c r="AE232" s="563">
        <f t="shared" si="350"/>
        <v>628.14814814814804</v>
      </c>
      <c r="AF232" s="546">
        <f t="shared" si="351"/>
        <v>8.9150943396226423E-2</v>
      </c>
      <c r="AH232" s="179">
        <f t="shared" si="352"/>
        <v>0.45018514709691021</v>
      </c>
      <c r="AI232" s="179">
        <f t="shared" si="353"/>
        <v>0.45018514709691021</v>
      </c>
      <c r="AJ232" s="179">
        <f t="shared" si="354"/>
        <v>1.3112482571088224</v>
      </c>
      <c r="AL232" s="563">
        <f t="shared" si="355"/>
        <v>160</v>
      </c>
      <c r="AM232" s="472">
        <f t="shared" si="356"/>
        <v>350</v>
      </c>
      <c r="AO232">
        <f t="shared" si="357"/>
        <v>160</v>
      </c>
      <c r="AP232">
        <f t="shared" si="358"/>
        <v>350</v>
      </c>
      <c r="AR232" s="6">
        <f t="shared" si="322"/>
        <v>2.8571428571428572</v>
      </c>
      <c r="AS232" s="6">
        <f t="shared" si="313"/>
        <v>0.28136571693556889</v>
      </c>
      <c r="AT232" s="6">
        <f t="shared" si="314"/>
        <v>2.5757771402072884</v>
      </c>
      <c r="AU232" s="179">
        <f t="shared" si="315"/>
        <v>9.8478000927449114E-2</v>
      </c>
      <c r="CD232" s="581">
        <f t="shared" si="359"/>
        <v>-50</v>
      </c>
    </row>
    <row r="233" spans="5:82" x14ac:dyDescent="0.2">
      <c r="E233" s="176">
        <v>17</v>
      </c>
      <c r="F233" s="223">
        <f t="shared" si="360"/>
        <v>0.17</v>
      </c>
      <c r="G233" s="223">
        <f t="shared" si="329"/>
        <v>8.5000000000000006E-2</v>
      </c>
      <c r="H233" s="223">
        <f t="shared" si="330"/>
        <v>0.85000000000000009</v>
      </c>
      <c r="I233" s="223">
        <f t="shared" si="331"/>
        <v>0.28050000000000003</v>
      </c>
      <c r="J233" s="559">
        <f t="shared" si="332"/>
        <v>48</v>
      </c>
      <c r="K233" s="454">
        <f t="shared" si="333"/>
        <v>15.899999999999999</v>
      </c>
      <c r="L233" s="454">
        <f t="shared" si="334"/>
        <v>63.9</v>
      </c>
      <c r="M233" s="454"/>
      <c r="N233" s="223">
        <f t="shared" si="335"/>
        <v>0.24882629107981219</v>
      </c>
      <c r="O233" s="178">
        <f t="shared" si="336"/>
        <v>6.0616329556285065</v>
      </c>
      <c r="P233" s="178">
        <f t="shared" si="337"/>
        <v>2.6604507042253513</v>
      </c>
      <c r="Q233" s="223">
        <f t="shared" si="338"/>
        <v>1.2123265911257013</v>
      </c>
      <c r="R233" s="223">
        <f t="shared" si="339"/>
        <v>1.8368584714025777</v>
      </c>
      <c r="S233" s="223">
        <f t="shared" si="340"/>
        <v>5</v>
      </c>
      <c r="T233" s="223">
        <f t="shared" si="341"/>
        <v>0.21033936058700212</v>
      </c>
      <c r="U233" s="223">
        <f t="shared" si="342"/>
        <v>0.13146210036687633</v>
      </c>
      <c r="V233" s="223">
        <f t="shared" si="343"/>
        <v>0.39686671808868335</v>
      </c>
      <c r="W233" s="203">
        <f t="shared" si="344"/>
        <v>350</v>
      </c>
      <c r="X233" s="454">
        <f t="shared" si="345"/>
        <v>350</v>
      </c>
      <c r="Z233" s="223">
        <f t="shared" si="346"/>
        <v>1.1374916163648559</v>
      </c>
      <c r="AA233" s="179">
        <f t="shared" si="347"/>
        <v>2.1462105969148224</v>
      </c>
      <c r="AB233" s="179">
        <f t="shared" si="348"/>
        <v>0.96366969510948308</v>
      </c>
      <c r="AC233" s="179"/>
      <c r="AD233" s="179">
        <f t="shared" si="349"/>
        <v>0.5660377358490567</v>
      </c>
      <c r="AE233" s="563">
        <f t="shared" si="350"/>
        <v>667.40740740740728</v>
      </c>
      <c r="AF233" s="546">
        <f t="shared" si="351"/>
        <v>8.9150943396226423E-2</v>
      </c>
      <c r="AH233" s="179">
        <f t="shared" si="352"/>
        <v>0.46404022814119611</v>
      </c>
      <c r="AI233" s="179">
        <f t="shared" si="353"/>
        <v>0.46404022814119611</v>
      </c>
      <c r="AJ233" s="179">
        <f t="shared" si="354"/>
        <v>1.3215112801045896</v>
      </c>
      <c r="AL233" s="563">
        <f t="shared" si="355"/>
        <v>170</v>
      </c>
      <c r="AM233" s="472">
        <f t="shared" si="356"/>
        <v>350</v>
      </c>
      <c r="AO233">
        <f t="shared" si="357"/>
        <v>170</v>
      </c>
      <c r="AP233">
        <f t="shared" si="358"/>
        <v>350</v>
      </c>
      <c r="AR233" s="6">
        <f t="shared" si="322"/>
        <v>2.8571428571428572</v>
      </c>
      <c r="AS233" s="6">
        <f t="shared" si="313"/>
        <v>0.29002514258824758</v>
      </c>
      <c r="AT233" s="6">
        <f t="shared" si="314"/>
        <v>2.5671177145546098</v>
      </c>
      <c r="AU233" s="179">
        <f t="shared" si="315"/>
        <v>0.10150879990588665</v>
      </c>
      <c r="CD233" s="581">
        <f t="shared" si="359"/>
        <v>-50</v>
      </c>
    </row>
    <row r="234" spans="5:82" x14ac:dyDescent="0.2">
      <c r="E234" s="176">
        <v>18</v>
      </c>
      <c r="F234" s="223">
        <f t="shared" si="360"/>
        <v>0.18</v>
      </c>
      <c r="G234" s="223">
        <f t="shared" si="329"/>
        <v>0.09</v>
      </c>
      <c r="H234" s="223">
        <f t="shared" si="330"/>
        <v>0.89999999999999991</v>
      </c>
      <c r="I234" s="223">
        <f t="shared" si="331"/>
        <v>0.29699999999999999</v>
      </c>
      <c r="J234" s="559">
        <f t="shared" si="332"/>
        <v>48</v>
      </c>
      <c r="K234" s="454">
        <f t="shared" si="333"/>
        <v>15.899999999999999</v>
      </c>
      <c r="L234" s="454">
        <f t="shared" si="334"/>
        <v>63.9</v>
      </c>
      <c r="M234" s="454"/>
      <c r="N234" s="223">
        <f t="shared" si="335"/>
        <v>0.24882629107981219</v>
      </c>
      <c r="O234" s="178">
        <f t="shared" si="336"/>
        <v>6.0616329556285065</v>
      </c>
      <c r="P234" s="178">
        <f t="shared" si="337"/>
        <v>2.6604507042253513</v>
      </c>
      <c r="Q234" s="223">
        <f t="shared" si="338"/>
        <v>1.2123265911257013</v>
      </c>
      <c r="R234" s="223">
        <f t="shared" si="339"/>
        <v>1.8368584714025777</v>
      </c>
      <c r="S234" s="223">
        <f t="shared" si="340"/>
        <v>5</v>
      </c>
      <c r="T234" s="223">
        <f t="shared" si="341"/>
        <v>0.22271226415094336</v>
      </c>
      <c r="U234" s="223">
        <f t="shared" si="342"/>
        <v>0.1391951650943396</v>
      </c>
      <c r="V234" s="223">
        <f t="shared" si="343"/>
        <v>0.42021181915272338</v>
      </c>
      <c r="W234" s="203">
        <f t="shared" si="344"/>
        <v>350</v>
      </c>
      <c r="X234" s="454">
        <f t="shared" si="345"/>
        <v>350</v>
      </c>
      <c r="Z234" s="223">
        <f t="shared" si="346"/>
        <v>1.1374916163648559</v>
      </c>
      <c r="AA234" s="179">
        <f t="shared" si="347"/>
        <v>2.1462105969148224</v>
      </c>
      <c r="AB234" s="179">
        <f t="shared" si="348"/>
        <v>0.96366969510948308</v>
      </c>
      <c r="AC234" s="179"/>
      <c r="AD234" s="179">
        <f t="shared" si="349"/>
        <v>0.5660377358490567</v>
      </c>
      <c r="AE234" s="563">
        <f t="shared" si="350"/>
        <v>706.66666666666652</v>
      </c>
      <c r="AF234" s="546">
        <f t="shared" si="351"/>
        <v>8.9150943396226423E-2</v>
      </c>
      <c r="AH234" s="179">
        <f t="shared" si="352"/>
        <v>0.47749345545253286</v>
      </c>
      <c r="AI234" s="179">
        <f t="shared" si="353"/>
        <v>0.47749345545253286</v>
      </c>
      <c r="AJ234" s="179">
        <f t="shared" si="354"/>
        <v>1.3314766336685429</v>
      </c>
      <c r="AL234" s="563">
        <f t="shared" si="355"/>
        <v>180</v>
      </c>
      <c r="AM234" s="472">
        <f t="shared" si="356"/>
        <v>350</v>
      </c>
      <c r="AO234">
        <f t="shared" si="357"/>
        <v>180</v>
      </c>
      <c r="AP234">
        <f t="shared" si="358"/>
        <v>350</v>
      </c>
      <c r="AR234" s="6">
        <f t="shared" si="322"/>
        <v>2.8571428571428572</v>
      </c>
      <c r="AS234" s="6">
        <f t="shared" si="313"/>
        <v>0.29843340965783305</v>
      </c>
      <c r="AT234" s="6">
        <f t="shared" si="314"/>
        <v>2.558709447485024</v>
      </c>
      <c r="AU234" s="179">
        <f t="shared" si="315"/>
        <v>0.10445169338024156</v>
      </c>
      <c r="CD234" s="581">
        <f t="shared" si="359"/>
        <v>-50</v>
      </c>
    </row>
    <row r="235" spans="5:82" x14ac:dyDescent="0.2">
      <c r="E235" s="176">
        <v>19</v>
      </c>
      <c r="F235" s="223">
        <f t="shared" si="360"/>
        <v>0.19</v>
      </c>
      <c r="G235" s="223">
        <f t="shared" si="329"/>
        <v>9.5000000000000001E-2</v>
      </c>
      <c r="H235" s="223">
        <f t="shared" si="330"/>
        <v>0.95</v>
      </c>
      <c r="I235" s="223">
        <f t="shared" si="331"/>
        <v>0.3135</v>
      </c>
      <c r="J235" s="559">
        <f t="shared" si="332"/>
        <v>48</v>
      </c>
      <c r="K235" s="454">
        <f t="shared" si="333"/>
        <v>15.899999999999999</v>
      </c>
      <c r="L235" s="454">
        <f t="shared" si="334"/>
        <v>63.9</v>
      </c>
      <c r="M235" s="454"/>
      <c r="N235" s="223">
        <f t="shared" si="335"/>
        <v>0.24882629107981219</v>
      </c>
      <c r="O235" s="178">
        <f t="shared" si="336"/>
        <v>6.0616329556285065</v>
      </c>
      <c r="P235" s="178">
        <f t="shared" si="337"/>
        <v>2.6604507042253513</v>
      </c>
      <c r="Q235" s="223">
        <f t="shared" si="338"/>
        <v>1.2123265911257013</v>
      </c>
      <c r="R235" s="223">
        <f t="shared" si="339"/>
        <v>1.8368584714025777</v>
      </c>
      <c r="S235" s="223">
        <f t="shared" si="340"/>
        <v>5</v>
      </c>
      <c r="T235" s="223">
        <f t="shared" si="341"/>
        <v>0.23508516771488472</v>
      </c>
      <c r="U235" s="223">
        <f t="shared" si="342"/>
        <v>0.14692822982180295</v>
      </c>
      <c r="V235" s="223">
        <f t="shared" si="343"/>
        <v>0.44355692021676363</v>
      </c>
      <c r="W235" s="203">
        <f t="shared" si="344"/>
        <v>350</v>
      </c>
      <c r="X235" s="454">
        <f t="shared" si="345"/>
        <v>350</v>
      </c>
      <c r="Z235" s="223">
        <f t="shared" si="346"/>
        <v>1.1374916163648559</v>
      </c>
      <c r="AA235" s="179">
        <f t="shared" si="347"/>
        <v>2.1462105969148224</v>
      </c>
      <c r="AB235" s="179">
        <f t="shared" si="348"/>
        <v>0.96366969510948308</v>
      </c>
      <c r="AC235" s="179"/>
      <c r="AD235" s="179">
        <f t="shared" si="349"/>
        <v>0.5660377358490567</v>
      </c>
      <c r="AE235" s="563">
        <f t="shared" si="350"/>
        <v>745.92592592592587</v>
      </c>
      <c r="AF235" s="546">
        <f t="shared" si="351"/>
        <v>8.9150943396226423E-2</v>
      </c>
      <c r="AH235" s="179">
        <f t="shared" si="352"/>
        <v>0.49057789051960615</v>
      </c>
      <c r="AI235" s="179">
        <f t="shared" si="353"/>
        <v>0.49057789051960615</v>
      </c>
      <c r="AJ235" s="179">
        <f t="shared" si="354"/>
        <v>1.3411688077923007</v>
      </c>
      <c r="AL235" s="563">
        <f t="shared" si="355"/>
        <v>190</v>
      </c>
      <c r="AM235" s="472">
        <f t="shared" si="356"/>
        <v>350</v>
      </c>
      <c r="AO235">
        <f t="shared" si="357"/>
        <v>190</v>
      </c>
      <c r="AP235">
        <f t="shared" si="358"/>
        <v>350</v>
      </c>
      <c r="AR235" s="6">
        <f t="shared" si="322"/>
        <v>2.8571428571428572</v>
      </c>
      <c r="AS235" s="6">
        <f t="shared" si="313"/>
        <v>0.30661118157475387</v>
      </c>
      <c r="AT235" s="6">
        <f t="shared" si="314"/>
        <v>2.5505316755681031</v>
      </c>
      <c r="AU235" s="179">
        <f t="shared" si="315"/>
        <v>0.10731391355116385</v>
      </c>
      <c r="CD235" s="581">
        <f t="shared" si="359"/>
        <v>-50</v>
      </c>
    </row>
    <row r="236" spans="5:82" x14ac:dyDescent="0.2">
      <c r="E236" s="176">
        <v>20</v>
      </c>
      <c r="F236" s="223">
        <f t="shared" si="360"/>
        <v>0.2</v>
      </c>
      <c r="G236" s="223">
        <f t="shared" si="329"/>
        <v>0.1</v>
      </c>
      <c r="H236" s="223">
        <f t="shared" si="330"/>
        <v>1</v>
      </c>
      <c r="I236" s="223">
        <f t="shared" si="331"/>
        <v>0.33</v>
      </c>
      <c r="J236" s="559">
        <f t="shared" si="332"/>
        <v>48</v>
      </c>
      <c r="K236" s="454">
        <f t="shared" si="333"/>
        <v>15.899999999999999</v>
      </c>
      <c r="L236" s="454">
        <f t="shared" si="334"/>
        <v>63.9</v>
      </c>
      <c r="M236" s="454"/>
      <c r="N236" s="223">
        <f t="shared" si="335"/>
        <v>0.24882629107981219</v>
      </c>
      <c r="O236" s="178">
        <f t="shared" si="336"/>
        <v>6.0616329556285065</v>
      </c>
      <c r="P236" s="178">
        <f t="shared" si="337"/>
        <v>2.6604507042253513</v>
      </c>
      <c r="Q236" s="223">
        <f t="shared" si="338"/>
        <v>1.2123265911257013</v>
      </c>
      <c r="R236" s="223">
        <f t="shared" si="339"/>
        <v>1.8368584714025777</v>
      </c>
      <c r="S236" s="223">
        <f t="shared" si="340"/>
        <v>5</v>
      </c>
      <c r="T236" s="223">
        <f t="shared" si="341"/>
        <v>0.24745807127882602</v>
      </c>
      <c r="U236" s="223">
        <f t="shared" si="342"/>
        <v>0.15466129454926628</v>
      </c>
      <c r="V236" s="223">
        <f t="shared" si="343"/>
        <v>0.46690202128080388</v>
      </c>
      <c r="W236" s="203">
        <f t="shared" si="344"/>
        <v>350</v>
      </c>
      <c r="X236" s="454">
        <f t="shared" si="345"/>
        <v>350</v>
      </c>
      <c r="Z236" s="223">
        <f t="shared" si="346"/>
        <v>1.1374916163648559</v>
      </c>
      <c r="AA236" s="179">
        <f t="shared" si="347"/>
        <v>2.1462105969148224</v>
      </c>
      <c r="AB236" s="179">
        <f t="shared" si="348"/>
        <v>0.96366969510948308</v>
      </c>
      <c r="AC236" s="179"/>
      <c r="AD236" s="179">
        <f t="shared" si="349"/>
        <v>0.5660377358490567</v>
      </c>
      <c r="AE236" s="563">
        <f t="shared" si="350"/>
        <v>785.18518518518511</v>
      </c>
      <c r="AF236" s="546">
        <f t="shared" si="351"/>
        <v>8.9150943396226423E-2</v>
      </c>
      <c r="AH236" s="179">
        <f t="shared" si="352"/>
        <v>0.50332229568471665</v>
      </c>
      <c r="AI236" s="179">
        <f t="shared" si="353"/>
        <v>0.50332229568471665</v>
      </c>
      <c r="AJ236" s="179">
        <f t="shared" si="354"/>
        <v>1.3506091079146048</v>
      </c>
      <c r="AL236" s="563">
        <f t="shared" si="355"/>
        <v>200</v>
      </c>
      <c r="AM236" s="472">
        <f t="shared" si="356"/>
        <v>350</v>
      </c>
      <c r="AO236">
        <f t="shared" si="357"/>
        <v>200</v>
      </c>
      <c r="AP236">
        <f t="shared" si="358"/>
        <v>350</v>
      </c>
      <c r="AR236" s="6">
        <f t="shared" si="322"/>
        <v>2.8571428571428572</v>
      </c>
      <c r="AS236" s="6">
        <f t="shared" si="313"/>
        <v>0.31457643480294789</v>
      </c>
      <c r="AT236" s="6">
        <f t="shared" si="314"/>
        <v>2.5425664223399091</v>
      </c>
      <c r="AU236" s="179">
        <f t="shared" si="315"/>
        <v>0.11010175218103176</v>
      </c>
      <c r="CD236" s="581">
        <f t="shared" si="359"/>
        <v>-50</v>
      </c>
    </row>
    <row r="237" spans="5:82" x14ac:dyDescent="0.2">
      <c r="E237" s="176">
        <v>21</v>
      </c>
      <c r="F237" s="223">
        <f t="shared" si="360"/>
        <v>0.21</v>
      </c>
      <c r="G237" s="223">
        <f t="shared" si="329"/>
        <v>0.105</v>
      </c>
      <c r="H237" s="223">
        <f t="shared" si="330"/>
        <v>1.05</v>
      </c>
      <c r="I237" s="223">
        <f t="shared" si="331"/>
        <v>0.34649999999999997</v>
      </c>
      <c r="J237" s="559">
        <f t="shared" si="332"/>
        <v>48</v>
      </c>
      <c r="K237" s="454">
        <f t="shared" si="333"/>
        <v>15.899999999999999</v>
      </c>
      <c r="L237" s="454">
        <f t="shared" si="334"/>
        <v>63.9</v>
      </c>
      <c r="M237" s="454"/>
      <c r="N237" s="223">
        <f t="shared" si="335"/>
        <v>0.24882629107981219</v>
      </c>
      <c r="O237" s="178">
        <f t="shared" si="336"/>
        <v>6.0616329556285065</v>
      </c>
      <c r="P237" s="178">
        <f t="shared" si="337"/>
        <v>2.6604507042253513</v>
      </c>
      <c r="Q237" s="223">
        <f t="shared" si="338"/>
        <v>1.2123265911257013</v>
      </c>
      <c r="R237" s="223">
        <f t="shared" si="339"/>
        <v>1.8368584714025777</v>
      </c>
      <c r="S237" s="223">
        <f t="shared" si="340"/>
        <v>5</v>
      </c>
      <c r="T237" s="223">
        <f t="shared" si="341"/>
        <v>0.25983097484276729</v>
      </c>
      <c r="U237" s="223">
        <f t="shared" si="342"/>
        <v>0.16239435927672957</v>
      </c>
      <c r="V237" s="223">
        <f t="shared" si="343"/>
        <v>0.49024712234484408</v>
      </c>
      <c r="W237" s="203">
        <f t="shared" si="344"/>
        <v>350</v>
      </c>
      <c r="X237" s="454">
        <f t="shared" si="345"/>
        <v>350</v>
      </c>
      <c r="Z237" s="223">
        <f t="shared" si="346"/>
        <v>1.1374916163648559</v>
      </c>
      <c r="AA237" s="179">
        <f t="shared" si="347"/>
        <v>2.1462105969148224</v>
      </c>
      <c r="AB237" s="179">
        <f t="shared" si="348"/>
        <v>0.96366969510948308</v>
      </c>
      <c r="AC237" s="179"/>
      <c r="AD237" s="179">
        <f t="shared" si="349"/>
        <v>0.5660377358490567</v>
      </c>
      <c r="AE237" s="563">
        <f t="shared" si="350"/>
        <v>824.44444444444412</v>
      </c>
      <c r="AF237" s="546">
        <f t="shared" si="351"/>
        <v>8.9150943396226423E-2</v>
      </c>
      <c r="AH237" s="179">
        <f t="shared" si="352"/>
        <v>0.51575187832910507</v>
      </c>
      <c r="AI237" s="179">
        <f t="shared" si="353"/>
        <v>0.51575187832910507</v>
      </c>
      <c r="AJ237" s="179">
        <f t="shared" si="354"/>
        <v>1.3598162061697074</v>
      </c>
      <c r="AL237" s="563">
        <f t="shared" si="355"/>
        <v>210</v>
      </c>
      <c r="AM237" s="472">
        <f t="shared" si="356"/>
        <v>350</v>
      </c>
      <c r="AO237">
        <f t="shared" si="357"/>
        <v>210</v>
      </c>
      <c r="AP237">
        <f t="shared" si="358"/>
        <v>350</v>
      </c>
      <c r="AR237" s="6">
        <f t="shared" si="322"/>
        <v>2.8571428571428572</v>
      </c>
      <c r="AS237" s="6">
        <f t="shared" si="313"/>
        <v>0.3223449239556907</v>
      </c>
      <c r="AT237" s="6">
        <f t="shared" si="314"/>
        <v>2.5347979331871664</v>
      </c>
      <c r="AU237" s="179">
        <f t="shared" si="315"/>
        <v>0.11282072338449174</v>
      </c>
      <c r="CD237" s="581">
        <f t="shared" si="359"/>
        <v>-50</v>
      </c>
    </row>
    <row r="238" spans="5:82" x14ac:dyDescent="0.2">
      <c r="E238" s="176">
        <v>22</v>
      </c>
      <c r="F238" s="223">
        <f t="shared" si="360"/>
        <v>0.22</v>
      </c>
      <c r="G238" s="223">
        <f t="shared" si="329"/>
        <v>0.11</v>
      </c>
      <c r="H238" s="223">
        <f t="shared" si="330"/>
        <v>1.1000000000000001</v>
      </c>
      <c r="I238" s="223">
        <f t="shared" si="331"/>
        <v>0.36299999999999999</v>
      </c>
      <c r="J238" s="559">
        <f t="shared" si="332"/>
        <v>48</v>
      </c>
      <c r="K238" s="454">
        <f t="shared" si="333"/>
        <v>15.899999999999999</v>
      </c>
      <c r="L238" s="454">
        <f t="shared" si="334"/>
        <v>63.9</v>
      </c>
      <c r="M238" s="454"/>
      <c r="N238" s="223">
        <f t="shared" si="335"/>
        <v>0.24882629107981219</v>
      </c>
      <c r="O238" s="178">
        <f t="shared" si="336"/>
        <v>6.0616329556285065</v>
      </c>
      <c r="P238" s="178">
        <f t="shared" si="337"/>
        <v>2.6604507042253513</v>
      </c>
      <c r="Q238" s="223">
        <f t="shared" si="338"/>
        <v>1.2123265911257013</v>
      </c>
      <c r="R238" s="223">
        <f t="shared" si="339"/>
        <v>1.8368584714025777</v>
      </c>
      <c r="S238" s="223">
        <f t="shared" si="340"/>
        <v>5</v>
      </c>
      <c r="T238" s="223">
        <f t="shared" si="341"/>
        <v>0.27220387840670862</v>
      </c>
      <c r="U238" s="223">
        <f t="shared" si="342"/>
        <v>0.17012742400419287</v>
      </c>
      <c r="V238" s="223">
        <f t="shared" si="343"/>
        <v>0.51359222340888422</v>
      </c>
      <c r="W238" s="203">
        <f t="shared" si="344"/>
        <v>350</v>
      </c>
      <c r="X238" s="454">
        <f t="shared" si="345"/>
        <v>350</v>
      </c>
      <c r="Z238" s="223">
        <f t="shared" si="346"/>
        <v>1.1374916163648559</v>
      </c>
      <c r="AA238" s="179">
        <f t="shared" si="347"/>
        <v>2.1462105969148224</v>
      </c>
      <c r="AB238" s="179">
        <f t="shared" si="348"/>
        <v>0.96366969510948308</v>
      </c>
      <c r="AC238" s="179"/>
      <c r="AD238" s="179">
        <f t="shared" si="349"/>
        <v>0.5660377358490567</v>
      </c>
      <c r="AE238" s="563">
        <f t="shared" si="350"/>
        <v>863.7037037037037</v>
      </c>
      <c r="AF238" s="546">
        <f t="shared" si="351"/>
        <v>8.9150943396226423E-2</v>
      </c>
      <c r="AH238" s="179">
        <f t="shared" si="352"/>
        <v>0.52788887719544408</v>
      </c>
      <c r="AI238" s="179">
        <f t="shared" si="353"/>
        <v>0.52788887719544408</v>
      </c>
      <c r="AJ238" s="179">
        <f t="shared" si="354"/>
        <v>1.3688065757003289</v>
      </c>
      <c r="AL238" s="563">
        <f t="shared" si="355"/>
        <v>220</v>
      </c>
      <c r="AM238" s="472">
        <f t="shared" si="356"/>
        <v>350</v>
      </c>
      <c r="AO238">
        <f t="shared" si="357"/>
        <v>220</v>
      </c>
      <c r="AP238">
        <f t="shared" si="358"/>
        <v>350</v>
      </c>
      <c r="AR238" s="6">
        <f t="shared" si="322"/>
        <v>2.8571428571428572</v>
      </c>
      <c r="AS238" s="6">
        <f t="shared" si="313"/>
        <v>0.32993054824715257</v>
      </c>
      <c r="AT238" s="6">
        <f t="shared" si="314"/>
        <v>2.5272123088957046</v>
      </c>
      <c r="AU238" s="179">
        <f t="shared" si="315"/>
        <v>0.11547569188650339</v>
      </c>
      <c r="CD238" s="581">
        <f t="shared" si="359"/>
        <v>-50</v>
      </c>
    </row>
    <row r="239" spans="5:82" x14ac:dyDescent="0.2">
      <c r="E239" s="176">
        <v>23</v>
      </c>
      <c r="F239" s="223">
        <f t="shared" si="360"/>
        <v>0.23</v>
      </c>
      <c r="G239" s="223">
        <f t="shared" si="329"/>
        <v>0.115</v>
      </c>
      <c r="H239" s="223">
        <f t="shared" si="330"/>
        <v>1.1500000000000001</v>
      </c>
      <c r="I239" s="223">
        <f t="shared" si="331"/>
        <v>0.3795</v>
      </c>
      <c r="J239" s="559">
        <f t="shared" si="332"/>
        <v>48</v>
      </c>
      <c r="K239" s="454">
        <f t="shared" si="333"/>
        <v>15.899999999999999</v>
      </c>
      <c r="L239" s="454">
        <f t="shared" si="334"/>
        <v>63.9</v>
      </c>
      <c r="M239" s="454"/>
      <c r="N239" s="223">
        <f t="shared" si="335"/>
        <v>0.24882629107981219</v>
      </c>
      <c r="O239" s="178">
        <f t="shared" si="336"/>
        <v>6.0616329556285065</v>
      </c>
      <c r="P239" s="178">
        <f t="shared" si="337"/>
        <v>2.6604507042253513</v>
      </c>
      <c r="Q239" s="223">
        <f t="shared" si="338"/>
        <v>1.2123265911257013</v>
      </c>
      <c r="R239" s="223">
        <f t="shared" si="339"/>
        <v>1.8368584714025777</v>
      </c>
      <c r="S239" s="223">
        <f t="shared" si="340"/>
        <v>5</v>
      </c>
      <c r="T239" s="223">
        <f t="shared" si="341"/>
        <v>0.28457678197064989</v>
      </c>
      <c r="U239" s="223">
        <f t="shared" si="342"/>
        <v>0.17786048873165619</v>
      </c>
      <c r="V239" s="223">
        <f t="shared" si="343"/>
        <v>0.5369373244729243</v>
      </c>
      <c r="W239" s="203">
        <f t="shared" si="344"/>
        <v>350</v>
      </c>
      <c r="X239" s="454">
        <f t="shared" si="345"/>
        <v>350</v>
      </c>
      <c r="Z239" s="223">
        <f t="shared" si="346"/>
        <v>1.1374916163648559</v>
      </c>
      <c r="AA239" s="179">
        <f t="shared" si="347"/>
        <v>2.1462105969148224</v>
      </c>
      <c r="AB239" s="179">
        <f t="shared" si="348"/>
        <v>0.96366969510948308</v>
      </c>
      <c r="AC239" s="179"/>
      <c r="AD239" s="179">
        <f t="shared" si="349"/>
        <v>0.5660377358490567</v>
      </c>
      <c r="AE239" s="563">
        <f t="shared" si="350"/>
        <v>902.96296296296282</v>
      </c>
      <c r="AF239" s="546">
        <f t="shared" si="351"/>
        <v>8.9150943396226423E-2</v>
      </c>
      <c r="AH239" s="179">
        <f t="shared" si="352"/>
        <v>0.53975302994363383</v>
      </c>
      <c r="AI239" s="179">
        <f t="shared" si="353"/>
        <v>0.53975302994363383</v>
      </c>
      <c r="AJ239" s="179">
        <f t="shared" si="354"/>
        <v>1.3775948369952844</v>
      </c>
      <c r="AL239" s="563">
        <f t="shared" si="355"/>
        <v>230</v>
      </c>
      <c r="AM239" s="472">
        <f t="shared" si="356"/>
        <v>350</v>
      </c>
      <c r="AO239">
        <f t="shared" si="357"/>
        <v>230</v>
      </c>
      <c r="AP239">
        <f t="shared" si="358"/>
        <v>350</v>
      </c>
      <c r="AR239" s="6">
        <f t="shared" si="322"/>
        <v>2.8571428571428572</v>
      </c>
      <c r="AS239" s="6">
        <f t="shared" si="313"/>
        <v>0.33734564371477116</v>
      </c>
      <c r="AT239" s="6">
        <f t="shared" si="314"/>
        <v>2.5197972134280859</v>
      </c>
      <c r="AU239" s="179">
        <f t="shared" si="315"/>
        <v>0.1180709753001699</v>
      </c>
      <c r="CD239" s="581">
        <f t="shared" si="359"/>
        <v>-50</v>
      </c>
    </row>
    <row r="240" spans="5:82" x14ac:dyDescent="0.2">
      <c r="E240" s="176">
        <v>24</v>
      </c>
      <c r="F240" s="223">
        <f t="shared" si="360"/>
        <v>0.24</v>
      </c>
      <c r="G240" s="223">
        <f t="shared" si="329"/>
        <v>0.12</v>
      </c>
      <c r="H240" s="223">
        <f t="shared" si="330"/>
        <v>1.2</v>
      </c>
      <c r="I240" s="223">
        <f t="shared" si="331"/>
        <v>0.39599999999999996</v>
      </c>
      <c r="J240" s="559">
        <f t="shared" si="332"/>
        <v>48</v>
      </c>
      <c r="K240" s="454">
        <f t="shared" si="333"/>
        <v>15.899999999999999</v>
      </c>
      <c r="L240" s="454">
        <f t="shared" si="334"/>
        <v>63.9</v>
      </c>
      <c r="M240" s="454"/>
      <c r="N240" s="223">
        <f t="shared" si="335"/>
        <v>0.24882629107981219</v>
      </c>
      <c r="O240" s="178">
        <f t="shared" si="336"/>
        <v>6.0616329556285065</v>
      </c>
      <c r="P240" s="178">
        <f t="shared" si="337"/>
        <v>2.6604507042253513</v>
      </c>
      <c r="Q240" s="223">
        <f t="shared" si="338"/>
        <v>1.2123265911257013</v>
      </c>
      <c r="R240" s="223">
        <f t="shared" si="339"/>
        <v>1.8368584714025777</v>
      </c>
      <c r="S240" s="223">
        <f t="shared" si="340"/>
        <v>5</v>
      </c>
      <c r="T240" s="223">
        <f t="shared" si="341"/>
        <v>0.29694968553459117</v>
      </c>
      <c r="U240" s="223">
        <f t="shared" si="342"/>
        <v>0.18559355345911946</v>
      </c>
      <c r="V240" s="223">
        <f t="shared" si="343"/>
        <v>0.5602824255369645</v>
      </c>
      <c r="W240" s="203">
        <f t="shared" si="344"/>
        <v>350</v>
      </c>
      <c r="X240" s="454">
        <f t="shared" si="345"/>
        <v>350</v>
      </c>
      <c r="Z240" s="223">
        <f t="shared" si="346"/>
        <v>1.1374916163648559</v>
      </c>
      <c r="AA240" s="179">
        <f t="shared" si="347"/>
        <v>2.1462105969148224</v>
      </c>
      <c r="AB240" s="179">
        <f t="shared" si="348"/>
        <v>0.96366969510948308</v>
      </c>
      <c r="AC240" s="179"/>
      <c r="AD240" s="179">
        <f t="shared" si="349"/>
        <v>0.5660377358490567</v>
      </c>
      <c r="AE240" s="563">
        <f t="shared" si="350"/>
        <v>942.22222222222206</v>
      </c>
      <c r="AF240" s="546">
        <f t="shared" si="351"/>
        <v>8.9150943396226423E-2</v>
      </c>
      <c r="AH240" s="179">
        <f t="shared" si="352"/>
        <v>0.55136195008360889</v>
      </c>
      <c r="AI240" s="179">
        <f t="shared" si="353"/>
        <v>0.55136195008360889</v>
      </c>
      <c r="AJ240" s="179">
        <f t="shared" si="354"/>
        <v>1.3861940370989694</v>
      </c>
      <c r="AL240" s="563">
        <f t="shared" si="355"/>
        <v>240</v>
      </c>
      <c r="AM240" s="472">
        <f t="shared" si="356"/>
        <v>350</v>
      </c>
      <c r="AO240">
        <f t="shared" si="357"/>
        <v>240</v>
      </c>
      <c r="AP240">
        <f t="shared" si="358"/>
        <v>350</v>
      </c>
      <c r="AR240" s="6">
        <f t="shared" si="322"/>
        <v>2.8571428571428572</v>
      </c>
      <c r="AS240" s="6">
        <f t="shared" si="313"/>
        <v>0.34460121880225558</v>
      </c>
      <c r="AT240" s="6">
        <f t="shared" si="314"/>
        <v>2.5125416383406014</v>
      </c>
      <c r="AU240" s="179">
        <f t="shared" si="315"/>
        <v>0.12061042658078945</v>
      </c>
      <c r="CD240" s="581">
        <f t="shared" si="359"/>
        <v>-50</v>
      </c>
    </row>
    <row r="241" spans="5:82" x14ac:dyDescent="0.2">
      <c r="E241" s="176">
        <v>25</v>
      </c>
      <c r="F241" s="223">
        <f t="shared" si="360"/>
        <v>0.25</v>
      </c>
      <c r="G241" s="223">
        <f t="shared" si="329"/>
        <v>0.125</v>
      </c>
      <c r="H241" s="223">
        <f t="shared" si="330"/>
        <v>1.25</v>
      </c>
      <c r="I241" s="223">
        <f t="shared" si="331"/>
        <v>0.41249999999999998</v>
      </c>
      <c r="J241" s="559">
        <f t="shared" si="332"/>
        <v>48</v>
      </c>
      <c r="K241" s="454">
        <f t="shared" si="333"/>
        <v>15.899999999999999</v>
      </c>
      <c r="L241" s="454">
        <f t="shared" si="334"/>
        <v>63.9</v>
      </c>
      <c r="M241" s="454"/>
      <c r="N241" s="223">
        <f t="shared" si="335"/>
        <v>0.24882629107981219</v>
      </c>
      <c r="O241" s="178">
        <f t="shared" si="336"/>
        <v>6.0616329556285065</v>
      </c>
      <c r="P241" s="178">
        <f t="shared" si="337"/>
        <v>2.6604507042253513</v>
      </c>
      <c r="Q241" s="223">
        <f t="shared" si="338"/>
        <v>1.2123265911257013</v>
      </c>
      <c r="R241" s="223">
        <f t="shared" si="339"/>
        <v>1.8368584714025777</v>
      </c>
      <c r="S241" s="223">
        <f t="shared" si="340"/>
        <v>5</v>
      </c>
      <c r="T241" s="223">
        <f t="shared" si="341"/>
        <v>0.3093225890985325</v>
      </c>
      <c r="U241" s="223">
        <f t="shared" si="342"/>
        <v>0.19332661818658281</v>
      </c>
      <c r="V241" s="223">
        <f t="shared" si="343"/>
        <v>0.5836275266010047</v>
      </c>
      <c r="W241" s="203">
        <f t="shared" si="344"/>
        <v>350</v>
      </c>
      <c r="X241" s="454">
        <f t="shared" si="345"/>
        <v>350</v>
      </c>
      <c r="Z241" s="223">
        <f t="shared" si="346"/>
        <v>1.1374916163648559</v>
      </c>
      <c r="AA241" s="179">
        <f t="shared" si="347"/>
        <v>2.1462105969148224</v>
      </c>
      <c r="AB241" s="179">
        <f t="shared" si="348"/>
        <v>0.96366969510948308</v>
      </c>
      <c r="AC241" s="179"/>
      <c r="AD241" s="179">
        <f t="shared" si="349"/>
        <v>0.5660377358490567</v>
      </c>
      <c r="AE241" s="563">
        <f t="shared" si="350"/>
        <v>981.48148148148141</v>
      </c>
      <c r="AF241" s="546">
        <f t="shared" si="351"/>
        <v>8.9150943396226423E-2</v>
      </c>
      <c r="AH241" s="179">
        <f t="shared" si="352"/>
        <v>0.56273143387113778</v>
      </c>
      <c r="AI241" s="179">
        <f t="shared" si="353"/>
        <v>0.56273143387113778</v>
      </c>
      <c r="AJ241" s="179">
        <f t="shared" si="354"/>
        <v>1.3946158769415835</v>
      </c>
      <c r="AL241" s="563">
        <f t="shared" si="355"/>
        <v>250</v>
      </c>
      <c r="AM241" s="472">
        <f t="shared" si="356"/>
        <v>350</v>
      </c>
      <c r="AO241">
        <f t="shared" si="357"/>
        <v>250</v>
      </c>
      <c r="AP241">
        <f t="shared" si="358"/>
        <v>350</v>
      </c>
      <c r="AR241" s="6">
        <f t="shared" si="322"/>
        <v>2.8571428571428572</v>
      </c>
      <c r="AS241" s="6">
        <f t="shared" si="313"/>
        <v>0.35170714616946108</v>
      </c>
      <c r="AT241" s="6">
        <f t="shared" si="314"/>
        <v>2.505435710973396</v>
      </c>
      <c r="AU241" s="179">
        <f t="shared" si="315"/>
        <v>0.12309750115931138</v>
      </c>
      <c r="CD241" s="581">
        <f t="shared" si="359"/>
        <v>-50</v>
      </c>
    </row>
    <row r="242" spans="5:82" x14ac:dyDescent="0.2">
      <c r="E242" s="176">
        <v>26</v>
      </c>
      <c r="F242" s="223">
        <f t="shared" si="360"/>
        <v>0.26</v>
      </c>
      <c r="G242" s="223">
        <f t="shared" si="329"/>
        <v>0.13</v>
      </c>
      <c r="H242" s="223">
        <f t="shared" si="330"/>
        <v>1.3</v>
      </c>
      <c r="I242" s="223">
        <f t="shared" si="331"/>
        <v>0.42899999999999999</v>
      </c>
      <c r="J242" s="559">
        <f t="shared" si="332"/>
        <v>48</v>
      </c>
      <c r="K242" s="454">
        <f t="shared" si="333"/>
        <v>15.899999999999999</v>
      </c>
      <c r="L242" s="454">
        <f t="shared" si="334"/>
        <v>63.9</v>
      </c>
      <c r="M242" s="454"/>
      <c r="N242" s="223">
        <f t="shared" si="335"/>
        <v>0.24882629107981219</v>
      </c>
      <c r="O242" s="178">
        <f t="shared" si="336"/>
        <v>6.0616329556285065</v>
      </c>
      <c r="P242" s="178">
        <f t="shared" si="337"/>
        <v>2.6604507042253513</v>
      </c>
      <c r="Q242" s="223">
        <f t="shared" si="338"/>
        <v>1.2123265911257013</v>
      </c>
      <c r="R242" s="223">
        <f t="shared" si="339"/>
        <v>1.8368584714025777</v>
      </c>
      <c r="S242" s="223">
        <f t="shared" si="340"/>
        <v>5</v>
      </c>
      <c r="T242" s="223">
        <f t="shared" si="341"/>
        <v>0.32169549266247383</v>
      </c>
      <c r="U242" s="223">
        <f t="shared" si="342"/>
        <v>0.20105968291404613</v>
      </c>
      <c r="V242" s="223">
        <f t="shared" si="343"/>
        <v>0.60697262766504501</v>
      </c>
      <c r="W242" s="203">
        <f t="shared" si="344"/>
        <v>350</v>
      </c>
      <c r="X242" s="454">
        <f t="shared" si="345"/>
        <v>350</v>
      </c>
      <c r="Z242" s="223">
        <f t="shared" si="346"/>
        <v>1.1374916163648559</v>
      </c>
      <c r="AA242" s="179">
        <f t="shared" si="347"/>
        <v>2.1462105969148224</v>
      </c>
      <c r="AB242" s="179">
        <f t="shared" si="348"/>
        <v>0.96366969510948308</v>
      </c>
      <c r="AC242" s="179"/>
      <c r="AD242" s="179">
        <f t="shared" si="349"/>
        <v>0.5660377358490567</v>
      </c>
      <c r="AE242" s="563">
        <f t="shared" si="350"/>
        <v>1020.7407407407405</v>
      </c>
      <c r="AF242" s="546">
        <f t="shared" si="351"/>
        <v>8.9150943396226423E-2</v>
      </c>
      <c r="AH242" s="179">
        <f t="shared" si="352"/>
        <v>0.57387571244419588</v>
      </c>
      <c r="AI242" s="179">
        <f t="shared" si="353"/>
        <v>0.57387571244419588</v>
      </c>
      <c r="AJ242" s="179">
        <f t="shared" si="354"/>
        <v>1.4028708981068116</v>
      </c>
      <c r="AL242" s="563">
        <f t="shared" si="355"/>
        <v>260</v>
      </c>
      <c r="AM242" s="472">
        <f t="shared" si="356"/>
        <v>350</v>
      </c>
      <c r="AO242">
        <f t="shared" si="357"/>
        <v>260</v>
      </c>
      <c r="AP242">
        <f t="shared" si="358"/>
        <v>350</v>
      </c>
      <c r="AR242" s="6">
        <f t="shared" si="322"/>
        <v>2.8571428571428572</v>
      </c>
      <c r="AS242" s="6">
        <f t="shared" si="313"/>
        <v>0.35867232027762241</v>
      </c>
      <c r="AT242" s="6">
        <f t="shared" si="314"/>
        <v>2.4984705368652347</v>
      </c>
      <c r="AU242" s="179">
        <f t="shared" si="315"/>
        <v>0.12553531209716784</v>
      </c>
      <c r="CD242" s="581">
        <f t="shared" si="359"/>
        <v>-50</v>
      </c>
    </row>
    <row r="243" spans="5:82" x14ac:dyDescent="0.2">
      <c r="E243" s="176">
        <v>27</v>
      </c>
      <c r="F243" s="223">
        <f t="shared" si="360"/>
        <v>0.27</v>
      </c>
      <c r="G243" s="223">
        <f t="shared" si="329"/>
        <v>0.13500000000000001</v>
      </c>
      <c r="H243" s="223">
        <f t="shared" si="330"/>
        <v>1.35</v>
      </c>
      <c r="I243" s="223">
        <f t="shared" si="331"/>
        <v>0.44550000000000001</v>
      </c>
      <c r="J243" s="559">
        <f t="shared" si="332"/>
        <v>48</v>
      </c>
      <c r="K243" s="454">
        <f t="shared" si="333"/>
        <v>15.899999999999999</v>
      </c>
      <c r="L243" s="454">
        <f t="shared" si="334"/>
        <v>63.9</v>
      </c>
      <c r="M243" s="454"/>
      <c r="N243" s="223">
        <f t="shared" si="335"/>
        <v>0.24882629107981219</v>
      </c>
      <c r="O243" s="178">
        <f t="shared" si="336"/>
        <v>6.0616329556285065</v>
      </c>
      <c r="P243" s="178">
        <f t="shared" si="337"/>
        <v>2.6604507042253513</v>
      </c>
      <c r="Q243" s="223">
        <f t="shared" si="338"/>
        <v>1.2123265911257013</v>
      </c>
      <c r="R243" s="223">
        <f t="shared" si="339"/>
        <v>1.8368584714025777</v>
      </c>
      <c r="S243" s="223">
        <f t="shared" si="340"/>
        <v>5</v>
      </c>
      <c r="T243" s="223">
        <f t="shared" si="341"/>
        <v>0.3340683962264151</v>
      </c>
      <c r="U243" s="223">
        <f t="shared" si="342"/>
        <v>0.20879274764150946</v>
      </c>
      <c r="V243" s="223">
        <f t="shared" si="343"/>
        <v>0.6303177287290852</v>
      </c>
      <c r="W243" s="203">
        <f t="shared" si="344"/>
        <v>350</v>
      </c>
      <c r="X243" s="454">
        <f t="shared" si="345"/>
        <v>350</v>
      </c>
      <c r="Z243" s="223">
        <f t="shared" si="346"/>
        <v>1.1374916163648559</v>
      </c>
      <c r="AA243" s="179">
        <f t="shared" si="347"/>
        <v>2.1462105969148224</v>
      </c>
      <c r="AB243" s="179">
        <f t="shared" si="348"/>
        <v>0.96366969510948308</v>
      </c>
      <c r="AC243" s="179"/>
      <c r="AD243" s="179">
        <f t="shared" si="349"/>
        <v>0.5660377358490567</v>
      </c>
      <c r="AE243" s="563">
        <f t="shared" si="350"/>
        <v>1059.9999999999998</v>
      </c>
      <c r="AF243" s="546">
        <f t="shared" si="351"/>
        <v>8.9150943396226423E-2</v>
      </c>
      <c r="AH243" s="179">
        <f t="shared" si="352"/>
        <v>0.58480766068853784</v>
      </c>
      <c r="AI243" s="179">
        <f t="shared" si="353"/>
        <v>0.58480766068853784</v>
      </c>
      <c r="AJ243" s="179">
        <f t="shared" si="354"/>
        <v>1.4109686375470649</v>
      </c>
      <c r="AL243" s="563">
        <f t="shared" si="355"/>
        <v>270</v>
      </c>
      <c r="AM243" s="472">
        <f t="shared" si="356"/>
        <v>350</v>
      </c>
      <c r="AO243">
        <f t="shared" si="357"/>
        <v>270</v>
      </c>
      <c r="AP243">
        <f t="shared" si="358"/>
        <v>350</v>
      </c>
      <c r="AR243" s="6">
        <f t="shared" si="322"/>
        <v>2.8571428571428572</v>
      </c>
      <c r="AS243" s="6">
        <f t="shared" ref="AS243:AS306" si="361">L*AI243/J243*1000000</f>
        <v>0.36550478793033614</v>
      </c>
      <c r="AT243" s="6">
        <f t="shared" ref="AT243:AT306" si="362">AR243-AS243</f>
        <v>2.4916380692125211</v>
      </c>
      <c r="AU243" s="179">
        <f t="shared" ref="AU243:AU306" si="363">AS243/AR243</f>
        <v>0.12792667577561764</v>
      </c>
      <c r="CD243" s="581">
        <f t="shared" si="359"/>
        <v>-50</v>
      </c>
    </row>
    <row r="244" spans="5:82" x14ac:dyDescent="0.2">
      <c r="E244" s="176">
        <v>28</v>
      </c>
      <c r="F244" s="223">
        <f t="shared" si="360"/>
        <v>0.28000000000000003</v>
      </c>
      <c r="G244" s="223">
        <f t="shared" si="329"/>
        <v>0.14000000000000001</v>
      </c>
      <c r="H244" s="223">
        <f t="shared" si="330"/>
        <v>1.4000000000000001</v>
      </c>
      <c r="I244" s="223">
        <f t="shared" si="331"/>
        <v>0.46200000000000002</v>
      </c>
      <c r="J244" s="559">
        <f t="shared" si="332"/>
        <v>48</v>
      </c>
      <c r="K244" s="454">
        <f t="shared" si="333"/>
        <v>15.899999999999999</v>
      </c>
      <c r="L244" s="454">
        <f t="shared" si="334"/>
        <v>63.9</v>
      </c>
      <c r="M244" s="454"/>
      <c r="N244" s="223">
        <f t="shared" si="335"/>
        <v>0.24882629107981219</v>
      </c>
      <c r="O244" s="178">
        <f t="shared" si="336"/>
        <v>6.0616329556285065</v>
      </c>
      <c r="P244" s="178">
        <f t="shared" si="337"/>
        <v>2.6604507042253513</v>
      </c>
      <c r="Q244" s="223">
        <f t="shared" si="338"/>
        <v>1.2123265911257013</v>
      </c>
      <c r="R244" s="223">
        <f t="shared" si="339"/>
        <v>1.8368584714025777</v>
      </c>
      <c r="S244" s="223">
        <f t="shared" si="340"/>
        <v>5</v>
      </c>
      <c r="T244" s="223">
        <f t="shared" si="341"/>
        <v>0.34644129979035643</v>
      </c>
      <c r="U244" s="223">
        <f t="shared" si="342"/>
        <v>0.21652581236897275</v>
      </c>
      <c r="V244" s="223">
        <f t="shared" si="343"/>
        <v>0.6536628297931254</v>
      </c>
      <c r="W244" s="203">
        <f t="shared" si="344"/>
        <v>350</v>
      </c>
      <c r="X244" s="454">
        <f t="shared" si="345"/>
        <v>350</v>
      </c>
      <c r="Z244" s="223">
        <f t="shared" si="346"/>
        <v>1.1374916163648559</v>
      </c>
      <c r="AA244" s="179">
        <f t="shared" si="347"/>
        <v>2.1462105969148224</v>
      </c>
      <c r="AB244" s="179">
        <f t="shared" si="348"/>
        <v>0.96366969510948308</v>
      </c>
      <c r="AC244" s="179"/>
      <c r="AD244" s="179">
        <f t="shared" si="349"/>
        <v>0.5660377358490567</v>
      </c>
      <c r="AE244" s="563">
        <f t="shared" si="350"/>
        <v>1099.2592592592591</v>
      </c>
      <c r="AF244" s="546">
        <f t="shared" si="351"/>
        <v>8.9150943396226423E-2</v>
      </c>
      <c r="AH244" s="179">
        <f t="shared" si="352"/>
        <v>0.59553897157672786</v>
      </c>
      <c r="AI244" s="179">
        <f t="shared" si="353"/>
        <v>0.59553897157672786</v>
      </c>
      <c r="AJ244" s="179">
        <f t="shared" si="354"/>
        <v>1.4189177567235021</v>
      </c>
      <c r="AL244" s="563">
        <f t="shared" si="355"/>
        <v>280</v>
      </c>
      <c r="AM244" s="472">
        <f t="shared" si="356"/>
        <v>350</v>
      </c>
      <c r="AO244">
        <f t="shared" si="357"/>
        <v>280</v>
      </c>
      <c r="AP244">
        <f t="shared" si="358"/>
        <v>350</v>
      </c>
      <c r="AR244" s="6">
        <f t="shared" si="322"/>
        <v>2.8571428571428572</v>
      </c>
      <c r="AS244" s="6">
        <f t="shared" si="361"/>
        <v>0.37221185723545491</v>
      </c>
      <c r="AT244" s="6">
        <f t="shared" si="362"/>
        <v>2.4849309999074025</v>
      </c>
      <c r="AU244" s="179">
        <f t="shared" si="363"/>
        <v>0.13027415003240922</v>
      </c>
      <c r="CD244" s="581">
        <f t="shared" si="359"/>
        <v>-50</v>
      </c>
    </row>
    <row r="245" spans="5:82" x14ac:dyDescent="0.2">
      <c r="E245" s="176">
        <v>29</v>
      </c>
      <c r="F245" s="223">
        <f t="shared" si="360"/>
        <v>0.28999999999999998</v>
      </c>
      <c r="G245" s="223">
        <f t="shared" si="329"/>
        <v>0.14499999999999999</v>
      </c>
      <c r="H245" s="223">
        <f t="shared" si="330"/>
        <v>1.45</v>
      </c>
      <c r="I245" s="223">
        <f t="shared" si="331"/>
        <v>0.47849999999999993</v>
      </c>
      <c r="J245" s="559">
        <f t="shared" si="332"/>
        <v>48</v>
      </c>
      <c r="K245" s="454">
        <f t="shared" si="333"/>
        <v>15.899999999999999</v>
      </c>
      <c r="L245" s="454">
        <f t="shared" si="334"/>
        <v>63.9</v>
      </c>
      <c r="M245" s="454"/>
      <c r="N245" s="223">
        <f t="shared" si="335"/>
        <v>0.24882629107981219</v>
      </c>
      <c r="O245" s="178">
        <f t="shared" si="336"/>
        <v>6.0616329556285065</v>
      </c>
      <c r="P245" s="178">
        <f t="shared" si="337"/>
        <v>2.6604507042253513</v>
      </c>
      <c r="Q245" s="223">
        <f t="shared" si="338"/>
        <v>1.2123265911257013</v>
      </c>
      <c r="R245" s="223">
        <f t="shared" si="339"/>
        <v>1.8368584714025777</v>
      </c>
      <c r="S245" s="223">
        <f t="shared" si="340"/>
        <v>5</v>
      </c>
      <c r="T245" s="223">
        <f t="shared" si="341"/>
        <v>0.3588142033542977</v>
      </c>
      <c r="U245" s="223">
        <f t="shared" si="342"/>
        <v>0.22425887709643608</v>
      </c>
      <c r="V245" s="223">
        <f t="shared" si="343"/>
        <v>0.6770079308571656</v>
      </c>
      <c r="W245" s="203">
        <f t="shared" si="344"/>
        <v>350</v>
      </c>
      <c r="X245" s="454">
        <f t="shared" si="345"/>
        <v>350</v>
      </c>
      <c r="Z245" s="223">
        <f t="shared" si="346"/>
        <v>1.1374916163648559</v>
      </c>
      <c r="AA245" s="179">
        <f t="shared" si="347"/>
        <v>2.1462105969148224</v>
      </c>
      <c r="AB245" s="179">
        <f t="shared" si="348"/>
        <v>0.96366969510948308</v>
      </c>
      <c r="AC245" s="179"/>
      <c r="AD245" s="179">
        <f t="shared" si="349"/>
        <v>0.5660377358490567</v>
      </c>
      <c r="AE245" s="563">
        <f t="shared" si="350"/>
        <v>1138.5185185185182</v>
      </c>
      <c r="AF245" s="546">
        <f t="shared" si="351"/>
        <v>8.9150943396226423E-2</v>
      </c>
      <c r="AH245" s="179">
        <f t="shared" si="352"/>
        <v>0.60608030271023761</v>
      </c>
      <c r="AI245" s="179">
        <f t="shared" si="353"/>
        <v>0.60608030271023761</v>
      </c>
      <c r="AJ245" s="179">
        <f t="shared" si="354"/>
        <v>1.4267261501557316</v>
      </c>
      <c r="AL245" s="563">
        <f t="shared" si="355"/>
        <v>290</v>
      </c>
      <c r="AM245" s="472">
        <f t="shared" si="356"/>
        <v>350</v>
      </c>
      <c r="AO245">
        <f t="shared" si="357"/>
        <v>290</v>
      </c>
      <c r="AP245">
        <f t="shared" si="358"/>
        <v>350</v>
      </c>
      <c r="AR245" s="6">
        <f t="shared" si="322"/>
        <v>2.8571428571428572</v>
      </c>
      <c r="AS245" s="6">
        <f t="shared" si="361"/>
        <v>0.37880018919389852</v>
      </c>
      <c r="AT245" s="6">
        <f t="shared" si="362"/>
        <v>2.4783426679489589</v>
      </c>
      <c r="AU245" s="179">
        <f t="shared" si="363"/>
        <v>0.13258006621786447</v>
      </c>
      <c r="CD245" s="581">
        <f t="shared" si="359"/>
        <v>-50</v>
      </c>
    </row>
    <row r="246" spans="5:82" x14ac:dyDescent="0.2">
      <c r="E246" s="176">
        <v>30</v>
      </c>
      <c r="F246" s="223">
        <f t="shared" si="360"/>
        <v>0.3</v>
      </c>
      <c r="G246" s="223">
        <f t="shared" si="329"/>
        <v>0.15</v>
      </c>
      <c r="H246" s="223">
        <f t="shared" si="330"/>
        <v>1.5</v>
      </c>
      <c r="I246" s="223">
        <f t="shared" si="331"/>
        <v>0.49499999999999994</v>
      </c>
      <c r="J246" s="559">
        <f t="shared" si="332"/>
        <v>48</v>
      </c>
      <c r="K246" s="454">
        <f t="shared" si="333"/>
        <v>15.899999999999999</v>
      </c>
      <c r="L246" s="454">
        <f t="shared" si="334"/>
        <v>63.9</v>
      </c>
      <c r="M246" s="454"/>
      <c r="N246" s="223">
        <f t="shared" si="335"/>
        <v>0.24882629107981219</v>
      </c>
      <c r="O246" s="178">
        <f t="shared" si="336"/>
        <v>6.0616329556285065</v>
      </c>
      <c r="P246" s="178">
        <f t="shared" si="337"/>
        <v>2.6604507042253513</v>
      </c>
      <c r="Q246" s="223">
        <f t="shared" si="338"/>
        <v>1.2123265911257013</v>
      </c>
      <c r="R246" s="223">
        <f t="shared" si="339"/>
        <v>1.8368584714025777</v>
      </c>
      <c r="S246" s="223">
        <f t="shared" si="340"/>
        <v>5</v>
      </c>
      <c r="T246" s="223">
        <f t="shared" si="341"/>
        <v>0.37118710691823897</v>
      </c>
      <c r="U246" s="223">
        <f t="shared" si="342"/>
        <v>0.23199194182389937</v>
      </c>
      <c r="V246" s="223">
        <f t="shared" si="343"/>
        <v>0.70035303192120568</v>
      </c>
      <c r="W246" s="203">
        <f t="shared" si="344"/>
        <v>350</v>
      </c>
      <c r="X246" s="454">
        <f t="shared" si="345"/>
        <v>350</v>
      </c>
      <c r="Z246" s="223">
        <f t="shared" si="346"/>
        <v>1.1374916163648559</v>
      </c>
      <c r="AA246" s="179">
        <f t="shared" si="347"/>
        <v>2.1462105969148224</v>
      </c>
      <c r="AB246" s="179">
        <f t="shared" si="348"/>
        <v>0.96366969510948308</v>
      </c>
      <c r="AC246" s="179"/>
      <c r="AD246" s="179">
        <f t="shared" si="349"/>
        <v>0.5660377358490567</v>
      </c>
      <c r="AE246" s="563">
        <f t="shared" si="350"/>
        <v>1177.7777777777776</v>
      </c>
      <c r="AF246" s="546">
        <f t="shared" si="351"/>
        <v>8.9150943396226423E-2</v>
      </c>
      <c r="AH246" s="179">
        <f t="shared" si="352"/>
        <v>0.61644140029689765</v>
      </c>
      <c r="AI246" s="179">
        <f t="shared" si="353"/>
        <v>0.61644140029689765</v>
      </c>
      <c r="AJ246" s="179">
        <f t="shared" si="354"/>
        <v>1.4344010372569611</v>
      </c>
      <c r="AL246" s="563">
        <f t="shared" si="355"/>
        <v>300</v>
      </c>
      <c r="AM246" s="472">
        <f t="shared" si="356"/>
        <v>350</v>
      </c>
      <c r="AO246">
        <f t="shared" si="357"/>
        <v>300</v>
      </c>
      <c r="AP246">
        <f t="shared" si="358"/>
        <v>350</v>
      </c>
      <c r="AR246" s="6">
        <f t="shared" si="322"/>
        <v>2.8571428571428572</v>
      </c>
      <c r="AS246" s="6">
        <f t="shared" si="361"/>
        <v>0.385275875185561</v>
      </c>
      <c r="AT246" s="6">
        <f t="shared" si="362"/>
        <v>2.4718669819572963</v>
      </c>
      <c r="AU246" s="179">
        <f t="shared" si="363"/>
        <v>0.13484655631494635</v>
      </c>
      <c r="CD246" s="581">
        <f t="shared" si="359"/>
        <v>-50</v>
      </c>
    </row>
    <row r="247" spans="5:82" x14ac:dyDescent="0.2">
      <c r="E247" s="176">
        <v>31</v>
      </c>
      <c r="F247" s="223">
        <f t="shared" si="360"/>
        <v>0.31</v>
      </c>
      <c r="G247" s="223">
        <f t="shared" si="329"/>
        <v>0.155</v>
      </c>
      <c r="H247" s="223">
        <f t="shared" si="330"/>
        <v>1.55</v>
      </c>
      <c r="I247" s="223">
        <f t="shared" si="331"/>
        <v>0.51149999999999995</v>
      </c>
      <c r="J247" s="559">
        <f t="shared" si="332"/>
        <v>48</v>
      </c>
      <c r="K247" s="454">
        <f t="shared" si="333"/>
        <v>15.899999999999999</v>
      </c>
      <c r="L247" s="454">
        <f t="shared" si="334"/>
        <v>63.9</v>
      </c>
      <c r="M247" s="454"/>
      <c r="N247" s="223">
        <f t="shared" si="335"/>
        <v>0.24882629107981219</v>
      </c>
      <c r="O247" s="178">
        <f t="shared" si="336"/>
        <v>6.0616329556285065</v>
      </c>
      <c r="P247" s="178">
        <f t="shared" si="337"/>
        <v>2.6604507042253513</v>
      </c>
      <c r="Q247" s="223">
        <f t="shared" si="338"/>
        <v>1.2123265911257013</v>
      </c>
      <c r="R247" s="223">
        <f t="shared" si="339"/>
        <v>1.8368584714025777</v>
      </c>
      <c r="S247" s="223">
        <f t="shared" si="340"/>
        <v>5</v>
      </c>
      <c r="T247" s="223">
        <f t="shared" si="341"/>
        <v>0.3835600104821803</v>
      </c>
      <c r="U247" s="223">
        <f t="shared" si="342"/>
        <v>0.2397250065513627</v>
      </c>
      <c r="V247" s="223">
        <f t="shared" si="343"/>
        <v>0.72369813298524588</v>
      </c>
      <c r="W247" s="203">
        <f t="shared" si="344"/>
        <v>350</v>
      </c>
      <c r="X247" s="454">
        <f t="shared" si="345"/>
        <v>350</v>
      </c>
      <c r="Z247" s="223">
        <f t="shared" si="346"/>
        <v>1.1374916163648559</v>
      </c>
      <c r="AA247" s="179">
        <f t="shared" si="347"/>
        <v>2.1462105969148224</v>
      </c>
      <c r="AB247" s="179">
        <f t="shared" si="348"/>
        <v>0.96366969510948308</v>
      </c>
      <c r="AC247" s="179"/>
      <c r="AD247" s="179">
        <f t="shared" si="349"/>
        <v>0.5660377358490567</v>
      </c>
      <c r="AE247" s="563">
        <f t="shared" si="350"/>
        <v>1217.037037037037</v>
      </c>
      <c r="AF247" s="546">
        <f t="shared" si="351"/>
        <v>8.9150943396226423E-2</v>
      </c>
      <c r="AH247" s="179">
        <f t="shared" si="352"/>
        <v>0.62663120467039202</v>
      </c>
      <c r="AI247" s="179">
        <f t="shared" si="353"/>
        <v>0.62663120467039202</v>
      </c>
      <c r="AJ247" s="179">
        <f t="shared" si="354"/>
        <v>1.4419490404965867</v>
      </c>
      <c r="AL247" s="563">
        <f t="shared" si="355"/>
        <v>310</v>
      </c>
      <c r="AM247" s="472">
        <f t="shared" si="356"/>
        <v>350</v>
      </c>
      <c r="AO247">
        <f t="shared" si="357"/>
        <v>310</v>
      </c>
      <c r="AP247">
        <f t="shared" si="358"/>
        <v>350</v>
      </c>
      <c r="AR247" s="6">
        <f t="shared" si="322"/>
        <v>2.8571428571428572</v>
      </c>
      <c r="AS247" s="6">
        <f t="shared" si="361"/>
        <v>0.391644502918995</v>
      </c>
      <c r="AT247" s="6">
        <f t="shared" si="362"/>
        <v>2.465498354223862</v>
      </c>
      <c r="AU247" s="179">
        <f t="shared" si="363"/>
        <v>0.13707557602164824</v>
      </c>
      <c r="CD247" s="581">
        <f t="shared" si="359"/>
        <v>-50</v>
      </c>
    </row>
    <row r="248" spans="5:82" x14ac:dyDescent="0.2">
      <c r="E248" s="176">
        <v>32</v>
      </c>
      <c r="F248" s="223">
        <f t="shared" si="360"/>
        <v>0.32</v>
      </c>
      <c r="G248" s="223">
        <f t="shared" ref="G248:G279" si="364">IF(PLOT_TYPE=1, E248/100*Iout2, min_I*EXP(Q248*rr/100))</f>
        <v>0.16</v>
      </c>
      <c r="H248" s="223">
        <f t="shared" ref="H248:H279" si="365">F248*Vout</f>
        <v>1.6</v>
      </c>
      <c r="I248" s="223">
        <f t="shared" ref="I248:I279" si="366">Vout2*G248</f>
        <v>0.52800000000000002</v>
      </c>
      <c r="J248" s="559">
        <f t="shared" si="332"/>
        <v>48</v>
      </c>
      <c r="K248" s="454">
        <f t="shared" si="333"/>
        <v>15.899999999999999</v>
      </c>
      <c r="L248" s="454">
        <f t="shared" si="334"/>
        <v>63.9</v>
      </c>
      <c r="M248" s="454"/>
      <c r="N248" s="223">
        <f t="shared" si="335"/>
        <v>0.24882629107981219</v>
      </c>
      <c r="O248" s="178">
        <f t="shared" ref="O248:O279" si="367">N248*J248*Isw_max*0.5*Efficiency*Pout/(Pout+Pout2)</f>
        <v>6.0616329556285065</v>
      </c>
      <c r="P248" s="178">
        <f t="shared" ref="P248:P279" si="368">N248*J248*Isw_max*0.5*Efficiency*(Pout2/Pout_total)</f>
        <v>2.6604507042253513</v>
      </c>
      <c r="Q248" s="223">
        <f t="shared" si="338"/>
        <v>1.2123265911257013</v>
      </c>
      <c r="R248" s="223">
        <f t="shared" ref="R248:R279" si="369">O248/Vout2</f>
        <v>1.8368584714025777</v>
      </c>
      <c r="S248" s="223">
        <f t="shared" ref="S248:S279" si="370">MIN(Vout,O248/F248)</f>
        <v>5</v>
      </c>
      <c r="T248" s="223">
        <f t="shared" ref="T248:T279" si="371">MIN(2*(Vout*F248+Vout2*G248)/(Efficiency*J248*N248), Isw_max)</f>
        <v>0.39593291404612163</v>
      </c>
      <c r="U248" s="223">
        <f t="shared" si="342"/>
        <v>0.24745807127882605</v>
      </c>
      <c r="V248" s="223">
        <f t="shared" si="343"/>
        <v>0.74704323404928619</v>
      </c>
      <c r="W248" s="203">
        <f t="shared" si="344"/>
        <v>350</v>
      </c>
      <c r="X248" s="454">
        <f t="shared" si="345"/>
        <v>350</v>
      </c>
      <c r="Z248" s="223">
        <f t="shared" si="346"/>
        <v>1.1374916163648559</v>
      </c>
      <c r="AA248" s="179">
        <f t="shared" si="347"/>
        <v>2.1462105969148224</v>
      </c>
      <c r="AB248" s="179">
        <f t="shared" ref="AB248:AB279" si="372">0.5*AA248*Z248*Nps*W248/1000*(Pout/(Pout+Pout2))</f>
        <v>0.96366969510948308</v>
      </c>
      <c r="AC248" s="179"/>
      <c r="AD248" s="179">
        <f t="shared" si="349"/>
        <v>0.5660377358490567</v>
      </c>
      <c r="AE248" s="563">
        <f t="shared" ref="AE248:AE279" si="373">MAX(10, F248/(0.5*AD248/1000000*Isw_min*Nps)/1000*Pout_total/Pout)</f>
        <v>1256.2962962962961</v>
      </c>
      <c r="AF248" s="546">
        <f t="shared" ref="AF248:AF279" si="374">0.5*AD248/1000000*Isw_min*Nps*W248*1000*(Pout/Pout_total)</f>
        <v>8.9150943396226423E-2</v>
      </c>
      <c r="AH248" s="179">
        <f t="shared" ref="AH248:AH279" si="375">SQRT((H248+I248)/(0.5*L*Fsw_DCM))</f>
        <v>0.63665794060337721</v>
      </c>
      <c r="AI248" s="179">
        <f t="shared" ref="AI248:AI279" si="376">MAX(IF(F248&gt;AB248,T248,AH248),Isw_min)</f>
        <v>0.63665794060337721</v>
      </c>
      <c r="AJ248" s="179">
        <f t="shared" ref="AJ248:AJ279" si="377">IF(F248&gt;AF248, (AI248-Isw_min)/1.08*0.8+1.2, AE248*0.2/350+1)</f>
        <v>1.4493762522987979</v>
      </c>
      <c r="AL248" s="563">
        <f t="shared" ref="AL248:AL279" si="378">F248*1000</f>
        <v>320</v>
      </c>
      <c r="AM248" s="472">
        <f t="shared" ref="AM248:AM279" si="379">IF(F248&gt;AF248, X248, AE248)</f>
        <v>350</v>
      </c>
      <c r="AO248">
        <f t="shared" si="357"/>
        <v>320</v>
      </c>
      <c r="AP248">
        <f t="shared" si="358"/>
        <v>350</v>
      </c>
      <c r="AR248" s="6">
        <f t="shared" si="322"/>
        <v>2.8571428571428572</v>
      </c>
      <c r="AS248" s="6">
        <f t="shared" si="361"/>
        <v>0.39791121287711079</v>
      </c>
      <c r="AT248" s="6">
        <f t="shared" si="362"/>
        <v>2.4592316442657465</v>
      </c>
      <c r="AU248" s="179">
        <f t="shared" si="363"/>
        <v>0.13926892450698877</v>
      </c>
      <c r="CD248" s="581">
        <f t="shared" ref="CD248:CD279" si="380">IF(ABS(F248-Ioutmax_Vinmax)&lt;Iout/200, AM248, -50)</f>
        <v>-50</v>
      </c>
    </row>
    <row r="249" spans="5:82" x14ac:dyDescent="0.2">
      <c r="E249" s="176">
        <v>33</v>
      </c>
      <c r="F249" s="223">
        <f t="shared" ref="F249:F280" si="381">IF(PLOT_TYPE=1, E249/100*Iout_max, min_I*EXP(O249*rr/100))</f>
        <v>0.33</v>
      </c>
      <c r="G249" s="223">
        <f t="shared" si="364"/>
        <v>0.16500000000000001</v>
      </c>
      <c r="H249" s="223">
        <f t="shared" si="365"/>
        <v>1.6500000000000001</v>
      </c>
      <c r="I249" s="223">
        <f t="shared" si="366"/>
        <v>0.54449999999999998</v>
      </c>
      <c r="J249" s="559">
        <f t="shared" si="332"/>
        <v>48</v>
      </c>
      <c r="K249" s="454">
        <f t="shared" si="333"/>
        <v>15.899999999999999</v>
      </c>
      <c r="L249" s="454">
        <f t="shared" si="334"/>
        <v>63.9</v>
      </c>
      <c r="M249" s="454"/>
      <c r="N249" s="223">
        <f t="shared" si="335"/>
        <v>0.24882629107981219</v>
      </c>
      <c r="O249" s="178">
        <f t="shared" si="367"/>
        <v>6.0616329556285065</v>
      </c>
      <c r="P249" s="178">
        <f t="shared" si="368"/>
        <v>2.6604507042253513</v>
      </c>
      <c r="Q249" s="223">
        <f t="shared" si="338"/>
        <v>1.2123265911257013</v>
      </c>
      <c r="R249" s="223">
        <f t="shared" si="369"/>
        <v>1.8368584714025777</v>
      </c>
      <c r="S249" s="223">
        <f t="shared" si="370"/>
        <v>5</v>
      </c>
      <c r="T249" s="223">
        <f t="shared" si="371"/>
        <v>0.4083058176100629</v>
      </c>
      <c r="U249" s="223">
        <f t="shared" si="342"/>
        <v>0.25519113600628929</v>
      </c>
      <c r="V249" s="223">
        <f t="shared" si="343"/>
        <v>0.77038833511332638</v>
      </c>
      <c r="W249" s="203">
        <f t="shared" si="344"/>
        <v>350</v>
      </c>
      <c r="X249" s="454">
        <f t="shared" si="345"/>
        <v>350</v>
      </c>
      <c r="Z249" s="223">
        <f t="shared" si="346"/>
        <v>1.1374916163648559</v>
      </c>
      <c r="AA249" s="179">
        <f t="shared" si="347"/>
        <v>2.1462105969148224</v>
      </c>
      <c r="AB249" s="179">
        <f t="shared" si="372"/>
        <v>0.96366969510948308</v>
      </c>
      <c r="AC249" s="179"/>
      <c r="AD249" s="179">
        <f t="shared" si="349"/>
        <v>0.5660377358490567</v>
      </c>
      <c r="AE249" s="563">
        <f t="shared" si="373"/>
        <v>1295.5555555555552</v>
      </c>
      <c r="AF249" s="546">
        <f t="shared" si="374"/>
        <v>8.9150943396226423E-2</v>
      </c>
      <c r="AH249" s="179">
        <f t="shared" si="375"/>
        <v>0.64652919500978456</v>
      </c>
      <c r="AI249" s="179">
        <f t="shared" si="376"/>
        <v>0.64652919500978456</v>
      </c>
      <c r="AJ249" s="179">
        <f t="shared" si="377"/>
        <v>1.4566882925998403</v>
      </c>
      <c r="AL249" s="563">
        <f t="shared" si="378"/>
        <v>330</v>
      </c>
      <c r="AM249" s="472">
        <f t="shared" si="379"/>
        <v>350</v>
      </c>
      <c r="AO249">
        <f t="shared" si="357"/>
        <v>330</v>
      </c>
      <c r="AP249">
        <f t="shared" si="358"/>
        <v>350</v>
      </c>
      <c r="AR249" s="6">
        <f t="shared" si="322"/>
        <v>2.8571428571428572</v>
      </c>
      <c r="AS249" s="6">
        <f t="shared" si="361"/>
        <v>0.40408074688111534</v>
      </c>
      <c r="AT249" s="6">
        <f t="shared" si="362"/>
        <v>2.453062110261742</v>
      </c>
      <c r="AU249" s="179">
        <f t="shared" si="363"/>
        <v>0.14142826140839038</v>
      </c>
      <c r="CD249" s="581">
        <f t="shared" si="380"/>
        <v>-50</v>
      </c>
    </row>
    <row r="250" spans="5:82" x14ac:dyDescent="0.2">
      <c r="E250" s="176">
        <v>34</v>
      </c>
      <c r="F250" s="223">
        <f t="shared" si="381"/>
        <v>0.34</v>
      </c>
      <c r="G250" s="223">
        <f t="shared" si="364"/>
        <v>0.17</v>
      </c>
      <c r="H250" s="223">
        <f t="shared" si="365"/>
        <v>1.7000000000000002</v>
      </c>
      <c r="I250" s="223">
        <f t="shared" si="366"/>
        <v>0.56100000000000005</v>
      </c>
      <c r="J250" s="559">
        <f t="shared" si="332"/>
        <v>48</v>
      </c>
      <c r="K250" s="454">
        <f t="shared" si="333"/>
        <v>15.899999999999999</v>
      </c>
      <c r="L250" s="454">
        <f t="shared" si="334"/>
        <v>63.9</v>
      </c>
      <c r="M250" s="454"/>
      <c r="N250" s="223">
        <f t="shared" si="335"/>
        <v>0.24882629107981219</v>
      </c>
      <c r="O250" s="178">
        <f t="shared" si="367"/>
        <v>6.0616329556285065</v>
      </c>
      <c r="P250" s="178">
        <f t="shared" si="368"/>
        <v>2.6604507042253513</v>
      </c>
      <c r="Q250" s="223">
        <f t="shared" si="338"/>
        <v>1.2123265911257013</v>
      </c>
      <c r="R250" s="223">
        <f t="shared" si="369"/>
        <v>1.8368584714025777</v>
      </c>
      <c r="S250" s="223">
        <f t="shared" si="370"/>
        <v>5</v>
      </c>
      <c r="T250" s="223">
        <f t="shared" si="371"/>
        <v>0.42067872117400423</v>
      </c>
      <c r="U250" s="223">
        <f t="shared" si="342"/>
        <v>0.26292420073375267</v>
      </c>
      <c r="V250" s="223">
        <f t="shared" si="343"/>
        <v>0.79373343617736669</v>
      </c>
      <c r="W250" s="203">
        <f t="shared" si="344"/>
        <v>350</v>
      </c>
      <c r="X250" s="454">
        <f t="shared" si="345"/>
        <v>350</v>
      </c>
      <c r="Z250" s="223">
        <f t="shared" si="346"/>
        <v>1.1374916163648559</v>
      </c>
      <c r="AA250" s="179">
        <f t="shared" si="347"/>
        <v>2.1462105969148224</v>
      </c>
      <c r="AB250" s="179">
        <f t="shared" si="372"/>
        <v>0.96366969510948308</v>
      </c>
      <c r="AC250" s="179"/>
      <c r="AD250" s="179">
        <f t="shared" si="349"/>
        <v>0.5660377358490567</v>
      </c>
      <c r="AE250" s="563">
        <f t="shared" si="373"/>
        <v>1334.8148148148146</v>
      </c>
      <c r="AF250" s="546">
        <f t="shared" si="374"/>
        <v>8.9150943396226423E-2</v>
      </c>
      <c r="AH250" s="179">
        <f t="shared" si="375"/>
        <v>0.65625198412398478</v>
      </c>
      <c r="AI250" s="179">
        <f t="shared" si="376"/>
        <v>0.65625198412398478</v>
      </c>
      <c r="AJ250" s="179">
        <f t="shared" si="377"/>
        <v>1.4638903586103591</v>
      </c>
      <c r="AL250" s="563">
        <f t="shared" si="378"/>
        <v>340</v>
      </c>
      <c r="AM250" s="472">
        <f t="shared" si="379"/>
        <v>350</v>
      </c>
      <c r="AO250">
        <f t="shared" si="357"/>
        <v>340</v>
      </c>
      <c r="AP250">
        <f t="shared" si="358"/>
        <v>350</v>
      </c>
      <c r="AR250" s="6">
        <f t="shared" si="322"/>
        <v>2.8571428571428572</v>
      </c>
      <c r="AS250" s="6">
        <f t="shared" si="361"/>
        <v>0.41015749007749053</v>
      </c>
      <c r="AT250" s="6">
        <f t="shared" si="362"/>
        <v>2.4469853670653667</v>
      </c>
      <c r="AU250" s="179">
        <f t="shared" si="363"/>
        <v>0.14355512152712169</v>
      </c>
      <c r="CD250" s="581">
        <f t="shared" si="380"/>
        <v>-50</v>
      </c>
    </row>
    <row r="251" spans="5:82" x14ac:dyDescent="0.2">
      <c r="E251" s="176">
        <v>35</v>
      </c>
      <c r="F251" s="223">
        <f t="shared" si="381"/>
        <v>0.35</v>
      </c>
      <c r="G251" s="223">
        <f t="shared" si="364"/>
        <v>0.17499999999999999</v>
      </c>
      <c r="H251" s="223">
        <f t="shared" si="365"/>
        <v>1.75</v>
      </c>
      <c r="I251" s="223">
        <f t="shared" si="366"/>
        <v>0.5774999999999999</v>
      </c>
      <c r="J251" s="559">
        <f t="shared" si="332"/>
        <v>48</v>
      </c>
      <c r="K251" s="454">
        <f t="shared" si="333"/>
        <v>15.899999999999999</v>
      </c>
      <c r="L251" s="454">
        <f t="shared" si="334"/>
        <v>63.9</v>
      </c>
      <c r="M251" s="454"/>
      <c r="N251" s="223">
        <f t="shared" si="335"/>
        <v>0.24882629107981219</v>
      </c>
      <c r="O251" s="178">
        <f t="shared" si="367"/>
        <v>6.0616329556285065</v>
      </c>
      <c r="P251" s="178">
        <f t="shared" si="368"/>
        <v>2.6604507042253513</v>
      </c>
      <c r="Q251" s="223">
        <f t="shared" si="338"/>
        <v>1.2123265911257013</v>
      </c>
      <c r="R251" s="223">
        <f t="shared" si="369"/>
        <v>1.8368584714025777</v>
      </c>
      <c r="S251" s="223">
        <f t="shared" si="370"/>
        <v>5</v>
      </c>
      <c r="T251" s="223">
        <f t="shared" si="371"/>
        <v>0.43305162473794545</v>
      </c>
      <c r="U251" s="223">
        <f t="shared" si="342"/>
        <v>0.27065726546121593</v>
      </c>
      <c r="V251" s="223">
        <f t="shared" si="343"/>
        <v>0.81707853724140667</v>
      </c>
      <c r="W251" s="203">
        <f t="shared" si="344"/>
        <v>350</v>
      </c>
      <c r="X251" s="454">
        <f t="shared" si="345"/>
        <v>350</v>
      </c>
      <c r="Z251" s="223">
        <f t="shared" si="346"/>
        <v>1.1374916163648559</v>
      </c>
      <c r="AA251" s="179">
        <f t="shared" si="347"/>
        <v>2.1462105969148224</v>
      </c>
      <c r="AB251" s="179">
        <f t="shared" si="372"/>
        <v>0.96366969510948308</v>
      </c>
      <c r="AC251" s="179"/>
      <c r="AD251" s="179">
        <f t="shared" si="349"/>
        <v>0.5660377358490567</v>
      </c>
      <c r="AE251" s="563">
        <f t="shared" si="373"/>
        <v>1374.0740740740737</v>
      </c>
      <c r="AF251" s="546">
        <f t="shared" si="374"/>
        <v>8.9150943396226423E-2</v>
      </c>
      <c r="AH251" s="179">
        <f t="shared" si="375"/>
        <v>0.66583281184793919</v>
      </c>
      <c r="AI251" s="179">
        <f t="shared" si="376"/>
        <v>0.66583281184793919</v>
      </c>
      <c r="AJ251" s="179">
        <f t="shared" si="377"/>
        <v>1.4709872680355105</v>
      </c>
      <c r="AL251" s="563">
        <f t="shared" si="378"/>
        <v>350</v>
      </c>
      <c r="AM251" s="472">
        <f t="shared" si="379"/>
        <v>350</v>
      </c>
      <c r="AO251">
        <f t="shared" si="357"/>
        <v>350</v>
      </c>
      <c r="AP251">
        <f t="shared" si="358"/>
        <v>350</v>
      </c>
      <c r="AR251" s="6">
        <f t="shared" si="322"/>
        <v>2.8571428571428572</v>
      </c>
      <c r="AS251" s="6">
        <f t="shared" si="361"/>
        <v>0.41614550740496198</v>
      </c>
      <c r="AT251" s="6">
        <f t="shared" si="362"/>
        <v>2.4409973497378954</v>
      </c>
      <c r="AU251" s="179">
        <f t="shared" si="363"/>
        <v>0.1456509275917367</v>
      </c>
      <c r="CD251" s="581">
        <f t="shared" si="380"/>
        <v>-50</v>
      </c>
    </row>
    <row r="252" spans="5:82" x14ac:dyDescent="0.2">
      <c r="E252" s="176">
        <v>36</v>
      </c>
      <c r="F252" s="223">
        <f t="shared" si="381"/>
        <v>0.36</v>
      </c>
      <c r="G252" s="223">
        <f t="shared" si="364"/>
        <v>0.18</v>
      </c>
      <c r="H252" s="223">
        <f t="shared" si="365"/>
        <v>1.7999999999999998</v>
      </c>
      <c r="I252" s="223">
        <f t="shared" si="366"/>
        <v>0.59399999999999997</v>
      </c>
      <c r="J252" s="559">
        <f t="shared" si="332"/>
        <v>48</v>
      </c>
      <c r="K252" s="454">
        <f t="shared" si="333"/>
        <v>15.899999999999999</v>
      </c>
      <c r="L252" s="454">
        <f t="shared" si="334"/>
        <v>63.9</v>
      </c>
      <c r="M252" s="454"/>
      <c r="N252" s="223">
        <f t="shared" si="335"/>
        <v>0.24882629107981219</v>
      </c>
      <c r="O252" s="178">
        <f t="shared" si="367"/>
        <v>6.0616329556285065</v>
      </c>
      <c r="P252" s="178">
        <f t="shared" si="368"/>
        <v>2.6604507042253513</v>
      </c>
      <c r="Q252" s="223">
        <f t="shared" si="338"/>
        <v>1.2123265911257013</v>
      </c>
      <c r="R252" s="223">
        <f t="shared" si="369"/>
        <v>1.8368584714025777</v>
      </c>
      <c r="S252" s="223">
        <f t="shared" si="370"/>
        <v>5</v>
      </c>
      <c r="T252" s="223">
        <f t="shared" si="371"/>
        <v>0.44542452830188672</v>
      </c>
      <c r="U252" s="223">
        <f t="shared" si="342"/>
        <v>0.2783903301886792</v>
      </c>
      <c r="V252" s="223">
        <f t="shared" si="343"/>
        <v>0.84042363830544675</v>
      </c>
      <c r="W252" s="203">
        <f t="shared" si="344"/>
        <v>350</v>
      </c>
      <c r="X252" s="454">
        <f t="shared" si="345"/>
        <v>350</v>
      </c>
      <c r="Z252" s="223">
        <f t="shared" si="346"/>
        <v>1.1374916163648559</v>
      </c>
      <c r="AA252" s="179">
        <f t="shared" si="347"/>
        <v>2.1462105969148224</v>
      </c>
      <c r="AB252" s="179">
        <f t="shared" si="372"/>
        <v>0.96366969510948308</v>
      </c>
      <c r="AC252" s="179"/>
      <c r="AD252" s="179">
        <f t="shared" si="349"/>
        <v>0.5660377358490567</v>
      </c>
      <c r="AE252" s="563">
        <f t="shared" si="373"/>
        <v>1413.333333333333</v>
      </c>
      <c r="AF252" s="546">
        <f t="shared" si="374"/>
        <v>8.9150943396226423E-2</v>
      </c>
      <c r="AH252" s="179">
        <f t="shared" si="375"/>
        <v>0.67527772064536529</v>
      </c>
      <c r="AI252" s="179">
        <f t="shared" si="376"/>
        <v>0.67527772064536529</v>
      </c>
      <c r="AJ252" s="179">
        <f t="shared" si="377"/>
        <v>1.4779834967743446</v>
      </c>
      <c r="AL252" s="563">
        <f t="shared" si="378"/>
        <v>360</v>
      </c>
      <c r="AM252" s="472">
        <f t="shared" si="379"/>
        <v>350</v>
      </c>
      <c r="AO252">
        <f t="shared" si="357"/>
        <v>360</v>
      </c>
      <c r="AP252">
        <f t="shared" si="358"/>
        <v>350</v>
      </c>
      <c r="AR252" s="6">
        <f t="shared" si="322"/>
        <v>2.8571428571428572</v>
      </c>
      <c r="AS252" s="6">
        <f t="shared" si="361"/>
        <v>0.42204857540335333</v>
      </c>
      <c r="AT252" s="6">
        <f t="shared" si="362"/>
        <v>2.435094281739504</v>
      </c>
      <c r="AU252" s="179">
        <f t="shared" si="363"/>
        <v>0.14771700139117366</v>
      </c>
      <c r="CD252" s="581">
        <f t="shared" si="380"/>
        <v>-50</v>
      </c>
    </row>
    <row r="253" spans="5:82" x14ac:dyDescent="0.2">
      <c r="E253" s="176">
        <v>37</v>
      </c>
      <c r="F253" s="223">
        <f t="shared" si="381"/>
        <v>0.37</v>
      </c>
      <c r="G253" s="223">
        <f t="shared" si="364"/>
        <v>0.185</v>
      </c>
      <c r="H253" s="223">
        <f t="shared" si="365"/>
        <v>1.85</v>
      </c>
      <c r="I253" s="223">
        <f t="shared" si="366"/>
        <v>0.61049999999999993</v>
      </c>
      <c r="J253" s="559">
        <f t="shared" si="332"/>
        <v>48</v>
      </c>
      <c r="K253" s="454">
        <f t="shared" si="333"/>
        <v>15.899999999999999</v>
      </c>
      <c r="L253" s="454">
        <f t="shared" si="334"/>
        <v>63.9</v>
      </c>
      <c r="M253" s="454"/>
      <c r="N253" s="223">
        <f t="shared" si="335"/>
        <v>0.24882629107981219</v>
      </c>
      <c r="O253" s="178">
        <f t="shared" si="367"/>
        <v>6.0616329556285065</v>
      </c>
      <c r="P253" s="178">
        <f t="shared" si="368"/>
        <v>2.6604507042253513</v>
      </c>
      <c r="Q253" s="223">
        <f t="shared" si="338"/>
        <v>1.2123265911257013</v>
      </c>
      <c r="R253" s="223">
        <f t="shared" si="369"/>
        <v>1.8368584714025777</v>
      </c>
      <c r="S253" s="223">
        <f t="shared" si="370"/>
        <v>5</v>
      </c>
      <c r="T253" s="223">
        <f t="shared" si="371"/>
        <v>0.45779743186582811</v>
      </c>
      <c r="U253" s="223">
        <f t="shared" si="342"/>
        <v>0.28612339491614258</v>
      </c>
      <c r="V253" s="223">
        <f t="shared" si="343"/>
        <v>0.86376873936948706</v>
      </c>
      <c r="W253" s="203">
        <f t="shared" si="344"/>
        <v>350</v>
      </c>
      <c r="X253" s="454">
        <f t="shared" si="345"/>
        <v>350</v>
      </c>
      <c r="Z253" s="223">
        <f t="shared" si="346"/>
        <v>1.1374916163648559</v>
      </c>
      <c r="AA253" s="179">
        <f t="shared" si="347"/>
        <v>2.1462105969148224</v>
      </c>
      <c r="AB253" s="179">
        <f t="shared" si="372"/>
        <v>0.96366969510948308</v>
      </c>
      <c r="AC253" s="179"/>
      <c r="AD253" s="179">
        <f t="shared" si="349"/>
        <v>0.5660377358490567</v>
      </c>
      <c r="AE253" s="563">
        <f t="shared" si="373"/>
        <v>1452.5925925925924</v>
      </c>
      <c r="AF253" s="546">
        <f t="shared" si="374"/>
        <v>8.9150943396226423E-2</v>
      </c>
      <c r="AH253" s="179">
        <f t="shared" si="375"/>
        <v>0.68459233611446946</v>
      </c>
      <c r="AI253" s="179">
        <f t="shared" si="376"/>
        <v>0.68459233611446946</v>
      </c>
      <c r="AJ253" s="179">
        <f t="shared" si="377"/>
        <v>1.484883211936644</v>
      </c>
      <c r="AL253" s="563">
        <f t="shared" si="378"/>
        <v>370</v>
      </c>
      <c r="AM253" s="472">
        <f t="shared" si="379"/>
        <v>350</v>
      </c>
      <c r="AO253">
        <f t="shared" si="357"/>
        <v>370</v>
      </c>
      <c r="AP253">
        <f t="shared" si="358"/>
        <v>350</v>
      </c>
      <c r="AR253" s="6">
        <f t="shared" si="322"/>
        <v>2.8571428571428572</v>
      </c>
      <c r="AS253" s="6">
        <f t="shared" si="361"/>
        <v>0.42787021007154341</v>
      </c>
      <c r="AT253" s="6">
        <f t="shared" si="362"/>
        <v>2.429272647071314</v>
      </c>
      <c r="AU253" s="179">
        <f t="shared" si="363"/>
        <v>0.14975457352504018</v>
      </c>
      <c r="CD253" s="581">
        <f t="shared" si="380"/>
        <v>-50</v>
      </c>
    </row>
    <row r="254" spans="5:82" x14ac:dyDescent="0.2">
      <c r="E254" s="176">
        <v>38</v>
      </c>
      <c r="F254" s="223">
        <f t="shared" si="381"/>
        <v>0.38</v>
      </c>
      <c r="G254" s="223">
        <f t="shared" si="364"/>
        <v>0.19</v>
      </c>
      <c r="H254" s="223">
        <f t="shared" si="365"/>
        <v>1.9</v>
      </c>
      <c r="I254" s="223">
        <f t="shared" si="366"/>
        <v>0.627</v>
      </c>
      <c r="J254" s="559">
        <f t="shared" si="332"/>
        <v>48</v>
      </c>
      <c r="K254" s="454">
        <f t="shared" si="333"/>
        <v>15.899999999999999</v>
      </c>
      <c r="L254" s="454">
        <f t="shared" si="334"/>
        <v>63.9</v>
      </c>
      <c r="M254" s="454"/>
      <c r="N254" s="223">
        <f t="shared" si="335"/>
        <v>0.24882629107981219</v>
      </c>
      <c r="O254" s="178">
        <f t="shared" si="367"/>
        <v>6.0616329556285065</v>
      </c>
      <c r="P254" s="178">
        <f t="shared" si="368"/>
        <v>2.6604507042253513</v>
      </c>
      <c r="Q254" s="223">
        <f t="shared" si="338"/>
        <v>1.2123265911257013</v>
      </c>
      <c r="R254" s="223">
        <f t="shared" si="369"/>
        <v>1.8368584714025777</v>
      </c>
      <c r="S254" s="223">
        <f t="shared" si="370"/>
        <v>5</v>
      </c>
      <c r="T254" s="223">
        <f t="shared" si="371"/>
        <v>0.47017033542976944</v>
      </c>
      <c r="U254" s="223">
        <f t="shared" si="342"/>
        <v>0.29385645964360591</v>
      </c>
      <c r="V254" s="223">
        <f t="shared" si="343"/>
        <v>0.88711384043352726</v>
      </c>
      <c r="W254" s="203">
        <f t="shared" si="344"/>
        <v>350</v>
      </c>
      <c r="X254" s="454">
        <f t="shared" si="345"/>
        <v>350</v>
      </c>
      <c r="Z254" s="223">
        <f t="shared" si="346"/>
        <v>1.1374916163648559</v>
      </c>
      <c r="AA254" s="179">
        <f t="shared" si="347"/>
        <v>2.1462105969148224</v>
      </c>
      <c r="AB254" s="179">
        <f t="shared" si="372"/>
        <v>0.96366969510948308</v>
      </c>
      <c r="AC254" s="179"/>
      <c r="AD254" s="179">
        <f t="shared" si="349"/>
        <v>0.5660377358490567</v>
      </c>
      <c r="AE254" s="563">
        <f t="shared" si="373"/>
        <v>1491.8518518518517</v>
      </c>
      <c r="AF254" s="546">
        <f t="shared" si="374"/>
        <v>8.9150943396226423E-2</v>
      </c>
      <c r="AH254" s="179">
        <f t="shared" si="375"/>
        <v>0.69378190617321045</v>
      </c>
      <c r="AI254" s="179">
        <f t="shared" si="376"/>
        <v>0.69378190617321045</v>
      </c>
      <c r="AJ254" s="179">
        <f t="shared" si="377"/>
        <v>1.4916903008690447</v>
      </c>
      <c r="AL254" s="563">
        <f t="shared" si="378"/>
        <v>380</v>
      </c>
      <c r="AM254" s="472">
        <f t="shared" si="379"/>
        <v>350</v>
      </c>
      <c r="AO254">
        <f t="shared" si="357"/>
        <v>380</v>
      </c>
      <c r="AP254">
        <f t="shared" si="358"/>
        <v>350</v>
      </c>
      <c r="AR254" s="6">
        <f t="shared" si="322"/>
        <v>2.8571428571428572</v>
      </c>
      <c r="AS254" s="6">
        <f t="shared" si="361"/>
        <v>0.4336136913582565</v>
      </c>
      <c r="AT254" s="6">
        <f t="shared" si="362"/>
        <v>2.4235291657846005</v>
      </c>
      <c r="AU254" s="179">
        <f t="shared" si="363"/>
        <v>0.15176479197538978</v>
      </c>
      <c r="CD254" s="581">
        <f t="shared" si="380"/>
        <v>-50</v>
      </c>
    </row>
    <row r="255" spans="5:82" x14ac:dyDescent="0.2">
      <c r="E255" s="176">
        <v>39</v>
      </c>
      <c r="F255" s="223">
        <f t="shared" si="381"/>
        <v>0.39</v>
      </c>
      <c r="G255" s="223">
        <f t="shared" si="364"/>
        <v>0.19500000000000001</v>
      </c>
      <c r="H255" s="223">
        <f t="shared" si="365"/>
        <v>1.9500000000000002</v>
      </c>
      <c r="I255" s="223">
        <f t="shared" si="366"/>
        <v>0.64349999999999996</v>
      </c>
      <c r="J255" s="559">
        <f t="shared" si="332"/>
        <v>48</v>
      </c>
      <c r="K255" s="454">
        <f t="shared" si="333"/>
        <v>15.899999999999999</v>
      </c>
      <c r="L255" s="454">
        <f t="shared" si="334"/>
        <v>63.9</v>
      </c>
      <c r="M255" s="454"/>
      <c r="N255" s="223">
        <f t="shared" si="335"/>
        <v>0.24882629107981219</v>
      </c>
      <c r="O255" s="178">
        <f t="shared" si="367"/>
        <v>6.0616329556285065</v>
      </c>
      <c r="P255" s="178">
        <f t="shared" si="368"/>
        <v>2.6604507042253513</v>
      </c>
      <c r="Q255" s="223">
        <f t="shared" si="338"/>
        <v>1.2123265911257013</v>
      </c>
      <c r="R255" s="223">
        <f t="shared" si="369"/>
        <v>1.8368584714025777</v>
      </c>
      <c r="S255" s="223">
        <f t="shared" si="370"/>
        <v>5</v>
      </c>
      <c r="T255" s="223">
        <f t="shared" si="371"/>
        <v>0.48254323899371071</v>
      </c>
      <c r="U255" s="223">
        <f t="shared" si="342"/>
        <v>0.30158952437106923</v>
      </c>
      <c r="V255" s="223">
        <f t="shared" si="343"/>
        <v>0.91045894149756745</v>
      </c>
      <c r="W255" s="203">
        <f t="shared" si="344"/>
        <v>350</v>
      </c>
      <c r="X255" s="454">
        <f t="shared" si="345"/>
        <v>350</v>
      </c>
      <c r="Z255" s="223">
        <f t="shared" si="346"/>
        <v>1.1374916163648559</v>
      </c>
      <c r="AA255" s="179">
        <f t="shared" si="347"/>
        <v>2.1462105969148224</v>
      </c>
      <c r="AB255" s="179">
        <f t="shared" si="372"/>
        <v>0.96366969510948308</v>
      </c>
      <c r="AC255" s="179"/>
      <c r="AD255" s="179">
        <f t="shared" si="349"/>
        <v>0.5660377358490567</v>
      </c>
      <c r="AE255" s="563">
        <f t="shared" si="373"/>
        <v>1531.1111111111109</v>
      </c>
      <c r="AF255" s="546">
        <f t="shared" si="374"/>
        <v>8.9150943396226423E-2</v>
      </c>
      <c r="AH255" s="179">
        <f t="shared" si="375"/>
        <v>0.70285133563222324</v>
      </c>
      <c r="AI255" s="179">
        <f t="shared" si="376"/>
        <v>0.70285133563222324</v>
      </c>
      <c r="AJ255" s="179">
        <f t="shared" si="377"/>
        <v>1.4984083967646098</v>
      </c>
      <c r="AL255" s="563">
        <f t="shared" si="378"/>
        <v>390</v>
      </c>
      <c r="AM255" s="472">
        <f t="shared" si="379"/>
        <v>350</v>
      </c>
      <c r="AO255">
        <f t="shared" si="357"/>
        <v>390</v>
      </c>
      <c r="AP255">
        <f t="shared" si="358"/>
        <v>350</v>
      </c>
      <c r="AR255" s="6">
        <f t="shared" si="322"/>
        <v>2.8571428571428572</v>
      </c>
      <c r="AS255" s="6">
        <f t="shared" si="361"/>
        <v>0.43928208477013952</v>
      </c>
      <c r="AT255" s="6">
        <f t="shared" si="362"/>
        <v>2.4178607723727179</v>
      </c>
      <c r="AU255" s="179">
        <f t="shared" si="363"/>
        <v>0.15374872966954883</v>
      </c>
      <c r="CD255" s="581">
        <f t="shared" si="380"/>
        <v>-50</v>
      </c>
    </row>
    <row r="256" spans="5:82" x14ac:dyDescent="0.2">
      <c r="E256" s="176">
        <v>40</v>
      </c>
      <c r="F256" s="223">
        <f t="shared" si="381"/>
        <v>0.4</v>
      </c>
      <c r="G256" s="223">
        <f t="shared" si="364"/>
        <v>0.2</v>
      </c>
      <c r="H256" s="223">
        <f t="shared" si="365"/>
        <v>2</v>
      </c>
      <c r="I256" s="223">
        <f t="shared" si="366"/>
        <v>0.66</v>
      </c>
      <c r="J256" s="559">
        <f t="shared" si="332"/>
        <v>48</v>
      </c>
      <c r="K256" s="454">
        <f t="shared" si="333"/>
        <v>15.899999999999999</v>
      </c>
      <c r="L256" s="454">
        <f t="shared" si="334"/>
        <v>63.9</v>
      </c>
      <c r="M256" s="454"/>
      <c r="N256" s="223">
        <f t="shared" si="335"/>
        <v>0.24882629107981219</v>
      </c>
      <c r="O256" s="178">
        <f t="shared" si="367"/>
        <v>6.0616329556285065</v>
      </c>
      <c r="P256" s="178">
        <f t="shared" si="368"/>
        <v>2.6604507042253513</v>
      </c>
      <c r="Q256" s="223">
        <f t="shared" si="338"/>
        <v>1.2123265911257013</v>
      </c>
      <c r="R256" s="223">
        <f t="shared" si="369"/>
        <v>1.8368584714025777</v>
      </c>
      <c r="S256" s="223">
        <f t="shared" si="370"/>
        <v>5</v>
      </c>
      <c r="T256" s="223">
        <f t="shared" si="371"/>
        <v>0.49491614255765204</v>
      </c>
      <c r="U256" s="223">
        <f t="shared" si="342"/>
        <v>0.30932258909853255</v>
      </c>
      <c r="V256" s="223">
        <f t="shared" si="343"/>
        <v>0.93380404256160776</v>
      </c>
      <c r="W256" s="203">
        <f t="shared" si="344"/>
        <v>350</v>
      </c>
      <c r="X256" s="454">
        <f t="shared" si="345"/>
        <v>350</v>
      </c>
      <c r="Z256" s="223">
        <f t="shared" si="346"/>
        <v>1.1374916163648559</v>
      </c>
      <c r="AA256" s="179">
        <f t="shared" si="347"/>
        <v>2.1462105969148224</v>
      </c>
      <c r="AB256" s="179">
        <f t="shared" si="372"/>
        <v>0.96366969510948308</v>
      </c>
      <c r="AC256" s="179"/>
      <c r="AD256" s="179">
        <f t="shared" si="349"/>
        <v>0.5660377358490567</v>
      </c>
      <c r="AE256" s="563">
        <f t="shared" si="373"/>
        <v>1570.3703703703702</v>
      </c>
      <c r="AF256" s="546">
        <f t="shared" si="374"/>
        <v>8.9150943396226423E-2</v>
      </c>
      <c r="AH256" s="179">
        <f t="shared" si="375"/>
        <v>0.71180521680208741</v>
      </c>
      <c r="AI256" s="179">
        <f t="shared" si="376"/>
        <v>0.71180521680208741</v>
      </c>
      <c r="AJ256" s="179">
        <f t="shared" si="377"/>
        <v>1.5050409013348796</v>
      </c>
      <c r="AL256" s="563">
        <f t="shared" si="378"/>
        <v>400</v>
      </c>
      <c r="AM256" s="472">
        <f t="shared" si="379"/>
        <v>350</v>
      </c>
      <c r="AO256">
        <f t="shared" si="357"/>
        <v>400</v>
      </c>
      <c r="AP256">
        <f t="shared" si="358"/>
        <v>350</v>
      </c>
      <c r="AR256" s="6">
        <f t="shared" si="322"/>
        <v>2.8571428571428572</v>
      </c>
      <c r="AS256" s="6">
        <f t="shared" si="361"/>
        <v>0.44487826050130463</v>
      </c>
      <c r="AT256" s="6">
        <f t="shared" si="362"/>
        <v>2.4122645966415526</v>
      </c>
      <c r="AU256" s="179">
        <f t="shared" si="363"/>
        <v>0.15570739117545662</v>
      </c>
      <c r="CD256" s="581">
        <f t="shared" si="380"/>
        <v>-50</v>
      </c>
    </row>
    <row r="257" spans="5:82" x14ac:dyDescent="0.2">
      <c r="E257" s="176">
        <v>41</v>
      </c>
      <c r="F257" s="223">
        <f t="shared" si="381"/>
        <v>0.41</v>
      </c>
      <c r="G257" s="223">
        <f t="shared" si="364"/>
        <v>0.20499999999999999</v>
      </c>
      <c r="H257" s="223">
        <f t="shared" si="365"/>
        <v>2.0499999999999998</v>
      </c>
      <c r="I257" s="223">
        <f t="shared" si="366"/>
        <v>0.67649999999999988</v>
      </c>
      <c r="J257" s="559">
        <f t="shared" si="332"/>
        <v>48</v>
      </c>
      <c r="K257" s="454">
        <f t="shared" si="333"/>
        <v>15.899999999999999</v>
      </c>
      <c r="L257" s="454">
        <f t="shared" si="334"/>
        <v>63.9</v>
      </c>
      <c r="M257" s="454"/>
      <c r="N257" s="223">
        <f t="shared" si="335"/>
        <v>0.24882629107981219</v>
      </c>
      <c r="O257" s="178">
        <f t="shared" si="367"/>
        <v>6.0616329556285065</v>
      </c>
      <c r="P257" s="178">
        <f t="shared" si="368"/>
        <v>2.6604507042253513</v>
      </c>
      <c r="Q257" s="223">
        <f t="shared" si="338"/>
        <v>1.2123265911257013</v>
      </c>
      <c r="R257" s="223">
        <f t="shared" si="369"/>
        <v>1.8368584714025777</v>
      </c>
      <c r="S257" s="223">
        <f t="shared" si="370"/>
        <v>5</v>
      </c>
      <c r="T257" s="223">
        <f t="shared" si="371"/>
        <v>0.5072890461215932</v>
      </c>
      <c r="U257" s="223">
        <f t="shared" si="342"/>
        <v>0.31705565382599571</v>
      </c>
      <c r="V257" s="223">
        <f t="shared" si="343"/>
        <v>0.95714914362564774</v>
      </c>
      <c r="W257" s="203">
        <f t="shared" si="344"/>
        <v>350</v>
      </c>
      <c r="X257" s="454">
        <f t="shared" si="345"/>
        <v>350</v>
      </c>
      <c r="Z257" s="223">
        <f t="shared" si="346"/>
        <v>1.1374916163648559</v>
      </c>
      <c r="AA257" s="179">
        <f t="shared" si="347"/>
        <v>2.1462105969148224</v>
      </c>
      <c r="AB257" s="179">
        <f t="shared" si="372"/>
        <v>0.96366969510948308</v>
      </c>
      <c r="AC257" s="179"/>
      <c r="AD257" s="179">
        <f t="shared" si="349"/>
        <v>0.5660377358490567</v>
      </c>
      <c r="AE257" s="563">
        <f t="shared" si="373"/>
        <v>1609.6296296296291</v>
      </c>
      <c r="AF257" s="546">
        <f t="shared" si="374"/>
        <v>8.9150943396226423E-2</v>
      </c>
      <c r="AH257" s="179">
        <f t="shared" si="375"/>
        <v>0.7206478566771245</v>
      </c>
      <c r="AI257" s="179">
        <f t="shared" si="376"/>
        <v>0.7206478566771245</v>
      </c>
      <c r="AJ257" s="179">
        <f t="shared" si="377"/>
        <v>1.5115910049460182</v>
      </c>
      <c r="AL257" s="563">
        <f t="shared" si="378"/>
        <v>410</v>
      </c>
      <c r="AM257" s="472">
        <f t="shared" si="379"/>
        <v>350</v>
      </c>
      <c r="AO257">
        <f t="shared" si="357"/>
        <v>410</v>
      </c>
      <c r="AP257">
        <f t="shared" si="358"/>
        <v>350</v>
      </c>
      <c r="AR257" s="6">
        <f t="shared" si="322"/>
        <v>2.8571428571428572</v>
      </c>
      <c r="AS257" s="6">
        <f t="shared" si="361"/>
        <v>0.45040491042320285</v>
      </c>
      <c r="AT257" s="6">
        <f t="shared" si="362"/>
        <v>2.4067379467196544</v>
      </c>
      <c r="AU257" s="179">
        <f t="shared" si="363"/>
        <v>0.15764171864812099</v>
      </c>
      <c r="CD257" s="581">
        <f t="shared" si="380"/>
        <v>-50</v>
      </c>
    </row>
    <row r="258" spans="5:82" x14ac:dyDescent="0.2">
      <c r="E258" s="176">
        <v>42</v>
      </c>
      <c r="F258" s="223">
        <f t="shared" si="381"/>
        <v>0.42</v>
      </c>
      <c r="G258" s="223">
        <f t="shared" si="364"/>
        <v>0.21</v>
      </c>
      <c r="H258" s="223">
        <f t="shared" si="365"/>
        <v>2.1</v>
      </c>
      <c r="I258" s="223">
        <f t="shared" si="366"/>
        <v>0.69299999999999995</v>
      </c>
      <c r="J258" s="559">
        <f t="shared" si="332"/>
        <v>48</v>
      </c>
      <c r="K258" s="454">
        <f t="shared" si="333"/>
        <v>15.899999999999999</v>
      </c>
      <c r="L258" s="454">
        <f t="shared" si="334"/>
        <v>63.9</v>
      </c>
      <c r="M258" s="454"/>
      <c r="N258" s="223">
        <f t="shared" si="335"/>
        <v>0.24882629107981219</v>
      </c>
      <c r="O258" s="178">
        <f t="shared" si="367"/>
        <v>6.0616329556285065</v>
      </c>
      <c r="P258" s="178">
        <f t="shared" si="368"/>
        <v>2.6604507042253513</v>
      </c>
      <c r="Q258" s="223">
        <f t="shared" si="338"/>
        <v>1.2123265911257013</v>
      </c>
      <c r="R258" s="223">
        <f t="shared" si="369"/>
        <v>1.8368584714025777</v>
      </c>
      <c r="S258" s="223">
        <f t="shared" si="370"/>
        <v>5</v>
      </c>
      <c r="T258" s="223">
        <f t="shared" si="371"/>
        <v>0.51966194968553459</v>
      </c>
      <c r="U258" s="223">
        <f t="shared" si="342"/>
        <v>0.32478871855345914</v>
      </c>
      <c r="V258" s="223">
        <f t="shared" si="343"/>
        <v>0.98049424468968815</v>
      </c>
      <c r="W258" s="203">
        <f t="shared" si="344"/>
        <v>350</v>
      </c>
      <c r="X258" s="454">
        <f t="shared" si="345"/>
        <v>350</v>
      </c>
      <c r="Z258" s="223">
        <f t="shared" si="346"/>
        <v>1.1374916163648559</v>
      </c>
      <c r="AA258" s="179">
        <f t="shared" si="347"/>
        <v>2.1462105969148224</v>
      </c>
      <c r="AB258" s="179">
        <f t="shared" si="372"/>
        <v>0.96366969510948308</v>
      </c>
      <c r="AC258" s="179"/>
      <c r="AD258" s="179">
        <f t="shared" si="349"/>
        <v>0.5660377358490567</v>
      </c>
      <c r="AE258" s="563">
        <f t="shared" si="373"/>
        <v>1648.8888888888882</v>
      </c>
      <c r="AF258" s="546">
        <f t="shared" si="374"/>
        <v>8.9150943396226423E-2</v>
      </c>
      <c r="AH258" s="179">
        <f t="shared" si="375"/>
        <v>0.72938330115241878</v>
      </c>
      <c r="AI258" s="179">
        <f t="shared" si="376"/>
        <v>0.72938330115241878</v>
      </c>
      <c r="AJ258" s="179">
        <f t="shared" si="377"/>
        <v>1.5180617045573472</v>
      </c>
      <c r="AL258" s="563">
        <f t="shared" si="378"/>
        <v>420</v>
      </c>
      <c r="AM258" s="472">
        <f t="shared" si="379"/>
        <v>350</v>
      </c>
      <c r="AO258">
        <f t="shared" si="357"/>
        <v>420</v>
      </c>
      <c r="AP258">
        <f t="shared" si="358"/>
        <v>350</v>
      </c>
      <c r="AR258" s="6">
        <f t="shared" si="322"/>
        <v>2.8571428571428572</v>
      </c>
      <c r="AS258" s="6">
        <f t="shared" si="361"/>
        <v>0.45586456322026181</v>
      </c>
      <c r="AT258" s="6">
        <f t="shared" si="362"/>
        <v>2.4012782939225952</v>
      </c>
      <c r="AU258" s="179">
        <f t="shared" si="363"/>
        <v>0.15955259712709163</v>
      </c>
      <c r="CD258" s="581">
        <f t="shared" si="380"/>
        <v>-50</v>
      </c>
    </row>
    <row r="259" spans="5:82" x14ac:dyDescent="0.2">
      <c r="E259" s="176">
        <v>43</v>
      </c>
      <c r="F259" s="223">
        <f t="shared" si="381"/>
        <v>0.43</v>
      </c>
      <c r="G259" s="223">
        <f t="shared" si="364"/>
        <v>0.215</v>
      </c>
      <c r="H259" s="223">
        <f t="shared" si="365"/>
        <v>2.15</v>
      </c>
      <c r="I259" s="223">
        <f t="shared" si="366"/>
        <v>0.70949999999999991</v>
      </c>
      <c r="J259" s="559">
        <f t="shared" si="332"/>
        <v>48</v>
      </c>
      <c r="K259" s="454">
        <f t="shared" si="333"/>
        <v>15.899999999999999</v>
      </c>
      <c r="L259" s="454">
        <f t="shared" si="334"/>
        <v>63.9</v>
      </c>
      <c r="M259" s="454"/>
      <c r="N259" s="223">
        <f t="shared" si="335"/>
        <v>0.24882629107981219</v>
      </c>
      <c r="O259" s="178">
        <f t="shared" si="367"/>
        <v>6.0616329556285065</v>
      </c>
      <c r="P259" s="178">
        <f t="shared" si="368"/>
        <v>2.6604507042253513</v>
      </c>
      <c r="Q259" s="223">
        <f t="shared" si="338"/>
        <v>1.2123265911257013</v>
      </c>
      <c r="R259" s="223">
        <f t="shared" si="369"/>
        <v>1.8368584714025777</v>
      </c>
      <c r="S259" s="223">
        <f t="shared" si="370"/>
        <v>5</v>
      </c>
      <c r="T259" s="223">
        <f t="shared" si="371"/>
        <v>0.53203485324947586</v>
      </c>
      <c r="U259" s="223">
        <f t="shared" si="342"/>
        <v>0.33252178328092241</v>
      </c>
      <c r="V259" s="223">
        <f t="shared" si="343"/>
        <v>1.0038393457537282</v>
      </c>
      <c r="W259" s="203">
        <f t="shared" si="344"/>
        <v>350</v>
      </c>
      <c r="X259" s="454">
        <f t="shared" si="345"/>
        <v>350</v>
      </c>
      <c r="Z259" s="223">
        <f t="shared" si="346"/>
        <v>1.1374916163648559</v>
      </c>
      <c r="AA259" s="179">
        <f t="shared" si="347"/>
        <v>2.1462105969148224</v>
      </c>
      <c r="AB259" s="179">
        <f t="shared" si="372"/>
        <v>0.96366969510948308</v>
      </c>
      <c r="AC259" s="179"/>
      <c r="AD259" s="179">
        <f t="shared" si="349"/>
        <v>0.5660377358490567</v>
      </c>
      <c r="AE259" s="563">
        <f t="shared" si="373"/>
        <v>1688.1481481481478</v>
      </c>
      <c r="AF259" s="546">
        <f t="shared" si="374"/>
        <v>8.9150943396226423E-2</v>
      </c>
      <c r="AH259" s="179">
        <f t="shared" si="375"/>
        <v>0.73801535666046048</v>
      </c>
      <c r="AI259" s="179">
        <f t="shared" si="376"/>
        <v>0.73801535666046048</v>
      </c>
      <c r="AJ259" s="179">
        <f t="shared" si="377"/>
        <v>1.5244558197484892</v>
      </c>
      <c r="AL259" s="563">
        <f t="shared" si="378"/>
        <v>430</v>
      </c>
      <c r="AM259" s="472">
        <f t="shared" si="379"/>
        <v>350</v>
      </c>
      <c r="AO259">
        <f t="shared" si="357"/>
        <v>430</v>
      </c>
      <c r="AP259">
        <f t="shared" si="358"/>
        <v>350</v>
      </c>
      <c r="AR259" s="6">
        <f t="shared" si="322"/>
        <v>2.8571428571428572</v>
      </c>
      <c r="AS259" s="6">
        <f t="shared" si="361"/>
        <v>0.46125959791278787</v>
      </c>
      <c r="AT259" s="6">
        <f t="shared" si="362"/>
        <v>2.3958832592300694</v>
      </c>
      <c r="AU259" s="179">
        <f t="shared" si="363"/>
        <v>0.16144085926947574</v>
      </c>
      <c r="CD259" s="581">
        <f t="shared" si="380"/>
        <v>-50</v>
      </c>
    </row>
    <row r="260" spans="5:82" x14ac:dyDescent="0.2">
      <c r="E260" s="176">
        <v>44</v>
      </c>
      <c r="F260" s="223">
        <f t="shared" si="381"/>
        <v>0.44</v>
      </c>
      <c r="G260" s="223">
        <f t="shared" si="364"/>
        <v>0.22</v>
      </c>
      <c r="H260" s="223">
        <f t="shared" si="365"/>
        <v>2.2000000000000002</v>
      </c>
      <c r="I260" s="223">
        <f t="shared" si="366"/>
        <v>0.72599999999999998</v>
      </c>
      <c r="J260" s="559">
        <f t="shared" si="332"/>
        <v>48</v>
      </c>
      <c r="K260" s="454">
        <f t="shared" si="333"/>
        <v>15.899999999999999</v>
      </c>
      <c r="L260" s="454">
        <f t="shared" si="334"/>
        <v>63.9</v>
      </c>
      <c r="M260" s="454"/>
      <c r="N260" s="223">
        <f t="shared" si="335"/>
        <v>0.24882629107981219</v>
      </c>
      <c r="O260" s="178">
        <f t="shared" si="367"/>
        <v>6.0616329556285065</v>
      </c>
      <c r="P260" s="178">
        <f t="shared" si="368"/>
        <v>2.6604507042253513</v>
      </c>
      <c r="Q260" s="223">
        <f t="shared" si="338"/>
        <v>1.2123265911257013</v>
      </c>
      <c r="R260" s="223">
        <f t="shared" si="369"/>
        <v>1.8368584714025777</v>
      </c>
      <c r="S260" s="223">
        <f t="shared" si="370"/>
        <v>5</v>
      </c>
      <c r="T260" s="223">
        <f t="shared" si="371"/>
        <v>0.54440775681341724</v>
      </c>
      <c r="U260" s="223">
        <f t="shared" si="342"/>
        <v>0.34025484800838574</v>
      </c>
      <c r="V260" s="223">
        <f t="shared" si="343"/>
        <v>1.0271844468177684</v>
      </c>
      <c r="W260" s="203">
        <f t="shared" si="344"/>
        <v>350</v>
      </c>
      <c r="X260" s="454">
        <f t="shared" si="345"/>
        <v>350</v>
      </c>
      <c r="Z260" s="223">
        <f t="shared" si="346"/>
        <v>1.1374916163648559</v>
      </c>
      <c r="AA260" s="179">
        <f t="shared" si="347"/>
        <v>2.1462105969148224</v>
      </c>
      <c r="AB260" s="179">
        <f t="shared" si="372"/>
        <v>0.96366969510948308</v>
      </c>
      <c r="AC260" s="179"/>
      <c r="AD260" s="179">
        <f t="shared" si="349"/>
        <v>0.5660377358490567</v>
      </c>
      <c r="AE260" s="563">
        <f t="shared" si="373"/>
        <v>1727.4074074074074</v>
      </c>
      <c r="AF260" s="546">
        <f t="shared" si="374"/>
        <v>8.9150943396226423E-2</v>
      </c>
      <c r="AH260" s="179">
        <f t="shared" si="375"/>
        <v>0.74654760955570232</v>
      </c>
      <c r="AI260" s="179">
        <f t="shared" si="376"/>
        <v>0.74654760955570232</v>
      </c>
      <c r="AJ260" s="179">
        <f t="shared" si="377"/>
        <v>1.5307760070782979</v>
      </c>
      <c r="AL260" s="563">
        <f t="shared" si="378"/>
        <v>440</v>
      </c>
      <c r="AM260" s="472">
        <f t="shared" si="379"/>
        <v>350</v>
      </c>
      <c r="AO260">
        <f t="shared" si="357"/>
        <v>440</v>
      </c>
      <c r="AP260">
        <f t="shared" si="358"/>
        <v>350</v>
      </c>
      <c r="AR260" s="6">
        <f t="shared" si="322"/>
        <v>2.8571428571428572</v>
      </c>
      <c r="AS260" s="6">
        <f t="shared" si="361"/>
        <v>0.46659225597231391</v>
      </c>
      <c r="AT260" s="6">
        <f t="shared" si="362"/>
        <v>2.3905506011705433</v>
      </c>
      <c r="AU260" s="179">
        <f t="shared" si="363"/>
        <v>0.16330728959030985</v>
      </c>
      <c r="CD260" s="581">
        <f t="shared" si="380"/>
        <v>-50</v>
      </c>
    </row>
    <row r="261" spans="5:82" x14ac:dyDescent="0.2">
      <c r="E261" s="176">
        <v>45</v>
      </c>
      <c r="F261" s="223">
        <f t="shared" si="381"/>
        <v>0.45</v>
      </c>
      <c r="G261" s="223">
        <f t="shared" si="364"/>
        <v>0.22500000000000001</v>
      </c>
      <c r="H261" s="223">
        <f t="shared" si="365"/>
        <v>2.25</v>
      </c>
      <c r="I261" s="223">
        <f t="shared" si="366"/>
        <v>0.74249999999999994</v>
      </c>
      <c r="J261" s="559">
        <f t="shared" si="332"/>
        <v>48</v>
      </c>
      <c r="K261" s="454">
        <f t="shared" si="333"/>
        <v>15.899999999999999</v>
      </c>
      <c r="L261" s="454">
        <f t="shared" si="334"/>
        <v>63.9</v>
      </c>
      <c r="M261" s="454"/>
      <c r="N261" s="223">
        <f t="shared" si="335"/>
        <v>0.24882629107981219</v>
      </c>
      <c r="O261" s="178">
        <f t="shared" si="367"/>
        <v>6.0616329556285065</v>
      </c>
      <c r="P261" s="178">
        <f t="shared" si="368"/>
        <v>2.6604507042253513</v>
      </c>
      <c r="Q261" s="223">
        <f t="shared" si="338"/>
        <v>1.2123265911257013</v>
      </c>
      <c r="R261" s="223">
        <f t="shared" si="369"/>
        <v>1.8368584714025777</v>
      </c>
      <c r="S261" s="223">
        <f t="shared" si="370"/>
        <v>5</v>
      </c>
      <c r="T261" s="223">
        <f t="shared" si="371"/>
        <v>0.55678066037735841</v>
      </c>
      <c r="U261" s="223">
        <f t="shared" si="342"/>
        <v>0.347987912735849</v>
      </c>
      <c r="V261" s="223">
        <f t="shared" si="343"/>
        <v>1.0505295478818084</v>
      </c>
      <c r="W261" s="203">
        <f t="shared" si="344"/>
        <v>350</v>
      </c>
      <c r="X261" s="454">
        <f t="shared" si="345"/>
        <v>350</v>
      </c>
      <c r="Z261" s="223">
        <f t="shared" si="346"/>
        <v>1.1374916163648559</v>
      </c>
      <c r="AA261" s="179">
        <f t="shared" si="347"/>
        <v>2.1462105969148224</v>
      </c>
      <c r="AB261" s="179">
        <f t="shared" si="372"/>
        <v>0.96366969510948308</v>
      </c>
      <c r="AC261" s="179"/>
      <c r="AD261" s="179">
        <f t="shared" si="349"/>
        <v>0.5660377358490567</v>
      </c>
      <c r="AE261" s="563">
        <f t="shared" si="373"/>
        <v>1766.6666666666665</v>
      </c>
      <c r="AF261" s="546">
        <f t="shared" si="374"/>
        <v>8.9150943396226423E-2</v>
      </c>
      <c r="AH261" s="179">
        <f t="shared" si="375"/>
        <v>0.75498344352707492</v>
      </c>
      <c r="AI261" s="179">
        <f t="shared" si="376"/>
        <v>0.75498344352707492</v>
      </c>
      <c r="AJ261" s="179">
        <f t="shared" si="377"/>
        <v>1.5370247729830184</v>
      </c>
      <c r="AL261" s="563">
        <f t="shared" si="378"/>
        <v>450</v>
      </c>
      <c r="AM261" s="472">
        <f t="shared" si="379"/>
        <v>350</v>
      </c>
      <c r="AO261">
        <f t="shared" si="357"/>
        <v>450</v>
      </c>
      <c r="AP261">
        <f t="shared" si="358"/>
        <v>350</v>
      </c>
      <c r="AR261" s="6">
        <f t="shared" si="322"/>
        <v>2.8571428571428572</v>
      </c>
      <c r="AS261" s="6">
        <f t="shared" si="361"/>
        <v>0.47186465220442186</v>
      </c>
      <c r="AT261" s="6">
        <f t="shared" si="362"/>
        <v>2.3852782049384356</v>
      </c>
      <c r="AU261" s="179">
        <f t="shared" si="363"/>
        <v>0.16515262827154764</v>
      </c>
      <c r="CD261" s="581">
        <f t="shared" si="380"/>
        <v>-50</v>
      </c>
    </row>
    <row r="262" spans="5:82" x14ac:dyDescent="0.2">
      <c r="E262" s="176">
        <v>46</v>
      </c>
      <c r="F262" s="223">
        <f t="shared" si="381"/>
        <v>0.46</v>
      </c>
      <c r="G262" s="223">
        <f t="shared" si="364"/>
        <v>0.23</v>
      </c>
      <c r="H262" s="223">
        <f t="shared" si="365"/>
        <v>2.3000000000000003</v>
      </c>
      <c r="I262" s="223">
        <f t="shared" si="366"/>
        <v>0.75900000000000001</v>
      </c>
      <c r="J262" s="559">
        <f t="shared" si="332"/>
        <v>48</v>
      </c>
      <c r="K262" s="454">
        <f t="shared" si="333"/>
        <v>15.899999999999999</v>
      </c>
      <c r="L262" s="454">
        <f t="shared" si="334"/>
        <v>63.9</v>
      </c>
      <c r="M262" s="454"/>
      <c r="N262" s="223">
        <f t="shared" si="335"/>
        <v>0.24882629107981219</v>
      </c>
      <c r="O262" s="178">
        <f t="shared" si="367"/>
        <v>6.0616329556285065</v>
      </c>
      <c r="P262" s="178">
        <f t="shared" si="368"/>
        <v>2.6604507042253513</v>
      </c>
      <c r="Q262" s="223">
        <f t="shared" si="338"/>
        <v>1.2123265911257013</v>
      </c>
      <c r="R262" s="223">
        <f t="shared" si="369"/>
        <v>1.8368584714025777</v>
      </c>
      <c r="S262" s="223">
        <f t="shared" si="370"/>
        <v>5</v>
      </c>
      <c r="T262" s="223">
        <f t="shared" si="371"/>
        <v>0.56915356394129979</v>
      </c>
      <c r="U262" s="223">
        <f t="shared" si="342"/>
        <v>0.35572097746331238</v>
      </c>
      <c r="V262" s="223">
        <f t="shared" si="343"/>
        <v>1.0738746489458486</v>
      </c>
      <c r="W262" s="203">
        <f t="shared" si="344"/>
        <v>350</v>
      </c>
      <c r="X262" s="454">
        <f t="shared" si="345"/>
        <v>350</v>
      </c>
      <c r="Z262" s="223">
        <f t="shared" si="346"/>
        <v>1.1374916163648559</v>
      </c>
      <c r="AA262" s="179">
        <f t="shared" si="347"/>
        <v>2.1462105969148224</v>
      </c>
      <c r="AB262" s="179">
        <f t="shared" si="372"/>
        <v>0.96366969510948308</v>
      </c>
      <c r="AC262" s="179"/>
      <c r="AD262" s="179">
        <f t="shared" si="349"/>
        <v>0.5660377358490567</v>
      </c>
      <c r="AE262" s="563">
        <f t="shared" si="373"/>
        <v>1805.9259259259256</v>
      </c>
      <c r="AF262" s="546">
        <f t="shared" si="374"/>
        <v>8.9150943396226423E-2</v>
      </c>
      <c r="AH262" s="179">
        <f t="shared" si="375"/>
        <v>0.76332605527825836</v>
      </c>
      <c r="AI262" s="179">
        <f t="shared" si="376"/>
        <v>0.76332605527825836</v>
      </c>
      <c r="AJ262" s="179">
        <f t="shared" si="377"/>
        <v>1.5432044853913025</v>
      </c>
      <c r="AL262" s="563">
        <f t="shared" si="378"/>
        <v>460</v>
      </c>
      <c r="AM262" s="472">
        <f t="shared" si="379"/>
        <v>350</v>
      </c>
      <c r="AO262">
        <f t="shared" si="357"/>
        <v>460</v>
      </c>
      <c r="AP262">
        <f t="shared" si="358"/>
        <v>350</v>
      </c>
      <c r="AR262" s="6">
        <f t="shared" si="322"/>
        <v>2.8571428571428572</v>
      </c>
      <c r="AS262" s="6">
        <f t="shared" si="361"/>
        <v>0.47707878454891151</v>
      </c>
      <c r="AT262" s="6">
        <f t="shared" si="362"/>
        <v>2.3800640725939459</v>
      </c>
      <c r="AU262" s="179">
        <f t="shared" si="363"/>
        <v>0.16697757459211901</v>
      </c>
      <c r="CD262" s="581">
        <f t="shared" si="380"/>
        <v>-50</v>
      </c>
    </row>
    <row r="263" spans="5:82" x14ac:dyDescent="0.2">
      <c r="E263" s="176">
        <v>47</v>
      </c>
      <c r="F263" s="223">
        <f t="shared" si="381"/>
        <v>0.47</v>
      </c>
      <c r="G263" s="223">
        <f t="shared" si="364"/>
        <v>0.23499999999999999</v>
      </c>
      <c r="H263" s="223">
        <f t="shared" si="365"/>
        <v>2.3499999999999996</v>
      </c>
      <c r="I263" s="223">
        <f t="shared" si="366"/>
        <v>0.77549999999999997</v>
      </c>
      <c r="J263" s="559">
        <f t="shared" si="332"/>
        <v>48</v>
      </c>
      <c r="K263" s="454">
        <f t="shared" si="333"/>
        <v>15.899999999999999</v>
      </c>
      <c r="L263" s="454">
        <f t="shared" si="334"/>
        <v>63.9</v>
      </c>
      <c r="M263" s="454"/>
      <c r="N263" s="223">
        <f t="shared" si="335"/>
        <v>0.24882629107981219</v>
      </c>
      <c r="O263" s="178">
        <f t="shared" si="367"/>
        <v>6.0616329556285065</v>
      </c>
      <c r="P263" s="178">
        <f t="shared" si="368"/>
        <v>2.6604507042253513</v>
      </c>
      <c r="Q263" s="223">
        <f t="shared" si="338"/>
        <v>1.2123265911257013</v>
      </c>
      <c r="R263" s="223">
        <f t="shared" si="369"/>
        <v>1.8368584714025777</v>
      </c>
      <c r="S263" s="223">
        <f t="shared" si="370"/>
        <v>5</v>
      </c>
      <c r="T263" s="223">
        <f t="shared" si="371"/>
        <v>0.58152646750524106</v>
      </c>
      <c r="U263" s="223">
        <f t="shared" si="342"/>
        <v>0.36345404219077571</v>
      </c>
      <c r="V263" s="223">
        <f t="shared" si="343"/>
        <v>1.097219750009889</v>
      </c>
      <c r="W263" s="203">
        <f t="shared" si="344"/>
        <v>350</v>
      </c>
      <c r="X263" s="454">
        <f t="shared" si="345"/>
        <v>350</v>
      </c>
      <c r="Z263" s="223">
        <f t="shared" si="346"/>
        <v>1.1374916163648559</v>
      </c>
      <c r="AA263" s="179">
        <f t="shared" si="347"/>
        <v>2.1462105969148224</v>
      </c>
      <c r="AB263" s="179">
        <f t="shared" si="372"/>
        <v>0.96366969510948308</v>
      </c>
      <c r="AC263" s="179"/>
      <c r="AD263" s="179">
        <f t="shared" si="349"/>
        <v>0.5660377358490567</v>
      </c>
      <c r="AE263" s="563">
        <f t="shared" si="373"/>
        <v>1845.1851851851848</v>
      </c>
      <c r="AF263" s="546">
        <f t="shared" si="374"/>
        <v>8.9150943396226423E-2</v>
      </c>
      <c r="AH263" s="179">
        <f t="shared" si="375"/>
        <v>0.77157846868178825</v>
      </c>
      <c r="AI263" s="179">
        <f t="shared" si="376"/>
        <v>0.77157846868178825</v>
      </c>
      <c r="AJ263" s="179">
        <f t="shared" si="377"/>
        <v>1.549317384208732</v>
      </c>
      <c r="AL263" s="563">
        <f t="shared" si="378"/>
        <v>470</v>
      </c>
      <c r="AM263" s="472">
        <f t="shared" si="379"/>
        <v>350</v>
      </c>
      <c r="AO263">
        <f t="shared" si="357"/>
        <v>470</v>
      </c>
      <c r="AP263">
        <f t="shared" si="358"/>
        <v>350</v>
      </c>
      <c r="AR263" s="6">
        <f t="shared" ref="AR263:AR316" si="382">1/AM263*1000</f>
        <v>2.8571428571428572</v>
      </c>
      <c r="AS263" s="6">
        <f t="shared" si="361"/>
        <v>0.48223654292611767</v>
      </c>
      <c r="AT263" s="6">
        <f t="shared" si="362"/>
        <v>2.3749063142167395</v>
      </c>
      <c r="AU263" s="179">
        <f t="shared" si="363"/>
        <v>0.16878279002414118</v>
      </c>
      <c r="CD263" s="581">
        <f t="shared" si="380"/>
        <v>-50</v>
      </c>
    </row>
    <row r="264" spans="5:82" x14ac:dyDescent="0.2">
      <c r="E264" s="176">
        <v>48</v>
      </c>
      <c r="F264" s="223">
        <f t="shared" si="381"/>
        <v>0.48</v>
      </c>
      <c r="G264" s="223">
        <f t="shared" si="364"/>
        <v>0.24</v>
      </c>
      <c r="H264" s="223">
        <f t="shared" si="365"/>
        <v>2.4</v>
      </c>
      <c r="I264" s="223">
        <f t="shared" si="366"/>
        <v>0.79199999999999993</v>
      </c>
      <c r="J264" s="559">
        <f t="shared" si="332"/>
        <v>48</v>
      </c>
      <c r="K264" s="454">
        <f t="shared" si="333"/>
        <v>15.899999999999999</v>
      </c>
      <c r="L264" s="454">
        <f t="shared" si="334"/>
        <v>63.9</v>
      </c>
      <c r="M264" s="454"/>
      <c r="N264" s="223">
        <f t="shared" si="335"/>
        <v>0.24882629107981219</v>
      </c>
      <c r="O264" s="178">
        <f t="shared" si="367"/>
        <v>6.0616329556285065</v>
      </c>
      <c r="P264" s="178">
        <f t="shared" si="368"/>
        <v>2.6604507042253513</v>
      </c>
      <c r="Q264" s="223">
        <f t="shared" si="338"/>
        <v>1.2123265911257013</v>
      </c>
      <c r="R264" s="223">
        <f t="shared" si="369"/>
        <v>1.8368584714025777</v>
      </c>
      <c r="S264" s="223">
        <f t="shared" si="370"/>
        <v>5</v>
      </c>
      <c r="T264" s="223">
        <f t="shared" si="371"/>
        <v>0.59389937106918234</v>
      </c>
      <c r="U264" s="223">
        <f t="shared" si="342"/>
        <v>0.37118710691823892</v>
      </c>
      <c r="V264" s="223">
        <f t="shared" si="343"/>
        <v>1.120564851073929</v>
      </c>
      <c r="W264" s="203">
        <f t="shared" si="344"/>
        <v>350</v>
      </c>
      <c r="X264" s="454">
        <f t="shared" si="345"/>
        <v>350</v>
      </c>
      <c r="Z264" s="223">
        <f t="shared" si="346"/>
        <v>1.1374916163648559</v>
      </c>
      <c r="AA264" s="179">
        <f t="shared" si="347"/>
        <v>2.1462105969148224</v>
      </c>
      <c r="AB264" s="179">
        <f t="shared" si="372"/>
        <v>0.96366969510948308</v>
      </c>
      <c r="AC264" s="179"/>
      <c r="AD264" s="179">
        <f t="shared" si="349"/>
        <v>0.5660377358490567</v>
      </c>
      <c r="AE264" s="563">
        <f t="shared" si="373"/>
        <v>1884.4444444444441</v>
      </c>
      <c r="AF264" s="546">
        <f t="shared" si="374"/>
        <v>8.9150943396226423E-2</v>
      </c>
      <c r="AH264" s="179">
        <f t="shared" si="375"/>
        <v>0.77974354758471709</v>
      </c>
      <c r="AI264" s="179">
        <f t="shared" si="376"/>
        <v>0.77974354758471709</v>
      </c>
      <c r="AJ264" s="179">
        <f t="shared" si="377"/>
        <v>1.5553655908034942</v>
      </c>
      <c r="AL264" s="563">
        <f t="shared" si="378"/>
        <v>480</v>
      </c>
      <c r="AM264" s="472">
        <f t="shared" si="379"/>
        <v>350</v>
      </c>
      <c r="AO264">
        <f t="shared" si="357"/>
        <v>480</v>
      </c>
      <c r="AP264">
        <f t="shared" si="358"/>
        <v>350</v>
      </c>
      <c r="AR264" s="6">
        <f t="shared" si="382"/>
        <v>2.8571428571428572</v>
      </c>
      <c r="AS264" s="6">
        <f t="shared" si="361"/>
        <v>0.48733971724044817</v>
      </c>
      <c r="AT264" s="6">
        <f t="shared" si="362"/>
        <v>2.3698031399024089</v>
      </c>
      <c r="AU264" s="179">
        <f t="shared" si="363"/>
        <v>0.17056890103415687</v>
      </c>
      <c r="CD264" s="581">
        <f t="shared" si="380"/>
        <v>-50</v>
      </c>
    </row>
    <row r="265" spans="5:82" x14ac:dyDescent="0.2">
      <c r="E265" s="176">
        <v>49</v>
      </c>
      <c r="F265" s="223">
        <f t="shared" si="381"/>
        <v>0.49</v>
      </c>
      <c r="G265" s="223">
        <f t="shared" si="364"/>
        <v>0.245</v>
      </c>
      <c r="H265" s="223">
        <f t="shared" si="365"/>
        <v>2.4500000000000002</v>
      </c>
      <c r="I265" s="223">
        <f t="shared" si="366"/>
        <v>0.8085</v>
      </c>
      <c r="J265" s="559">
        <f t="shared" si="332"/>
        <v>48</v>
      </c>
      <c r="K265" s="454">
        <f t="shared" si="333"/>
        <v>15.899999999999999</v>
      </c>
      <c r="L265" s="454">
        <f t="shared" si="334"/>
        <v>63.9</v>
      </c>
      <c r="M265" s="454"/>
      <c r="N265" s="223">
        <f t="shared" si="335"/>
        <v>0.24882629107981219</v>
      </c>
      <c r="O265" s="178">
        <f t="shared" si="367"/>
        <v>6.0616329556285065</v>
      </c>
      <c r="P265" s="178">
        <f t="shared" si="368"/>
        <v>2.6604507042253513</v>
      </c>
      <c r="Q265" s="223">
        <f t="shared" si="338"/>
        <v>1.2123265911257013</v>
      </c>
      <c r="R265" s="223">
        <f t="shared" si="369"/>
        <v>1.8368584714025777</v>
      </c>
      <c r="S265" s="223">
        <f t="shared" si="370"/>
        <v>5</v>
      </c>
      <c r="T265" s="223">
        <f t="shared" si="371"/>
        <v>0.60627227463312372</v>
      </c>
      <c r="U265" s="223">
        <f t="shared" si="342"/>
        <v>0.37892017164570235</v>
      </c>
      <c r="V265" s="223">
        <f t="shared" si="343"/>
        <v>1.1439099521379694</v>
      </c>
      <c r="W265" s="203">
        <f t="shared" si="344"/>
        <v>350</v>
      </c>
      <c r="X265" s="454">
        <f t="shared" si="345"/>
        <v>350</v>
      </c>
      <c r="Z265" s="223">
        <f t="shared" si="346"/>
        <v>1.1374916163648559</v>
      </c>
      <c r="AA265" s="179">
        <f t="shared" si="347"/>
        <v>2.1462105969148224</v>
      </c>
      <c r="AB265" s="179">
        <f t="shared" si="372"/>
        <v>0.96366969510948308</v>
      </c>
      <c r="AC265" s="179"/>
      <c r="AD265" s="179">
        <f t="shared" si="349"/>
        <v>0.5660377358490567</v>
      </c>
      <c r="AE265" s="563">
        <f t="shared" si="373"/>
        <v>1923.7037037037037</v>
      </c>
      <c r="AF265" s="546">
        <f t="shared" si="374"/>
        <v>8.9150943396226423E-2</v>
      </c>
      <c r="AH265" s="179">
        <f t="shared" si="375"/>
        <v>0.78782400741959291</v>
      </c>
      <c r="AI265" s="179">
        <f t="shared" si="376"/>
        <v>0.78782400741959291</v>
      </c>
      <c r="AJ265" s="179">
        <f t="shared" si="377"/>
        <v>1.5613511166071059</v>
      </c>
      <c r="AL265" s="563">
        <f t="shared" si="378"/>
        <v>490</v>
      </c>
      <c r="AM265" s="472">
        <f t="shared" si="379"/>
        <v>350</v>
      </c>
      <c r="AO265">
        <f t="shared" si="357"/>
        <v>490</v>
      </c>
      <c r="AP265">
        <f t="shared" si="358"/>
        <v>350</v>
      </c>
      <c r="AR265" s="6">
        <f t="shared" si="382"/>
        <v>2.8571428571428572</v>
      </c>
      <c r="AS265" s="6">
        <f t="shared" si="361"/>
        <v>0.49239000463724553</v>
      </c>
      <c r="AT265" s="6">
        <f t="shared" si="362"/>
        <v>2.3647528525056116</v>
      </c>
      <c r="AU265" s="179">
        <f t="shared" si="363"/>
        <v>0.17233650162303593</v>
      </c>
      <c r="CD265" s="581">
        <f t="shared" si="380"/>
        <v>-50</v>
      </c>
    </row>
    <row r="266" spans="5:82" x14ac:dyDescent="0.2">
      <c r="E266" s="176">
        <v>50</v>
      </c>
      <c r="F266" s="223">
        <f t="shared" si="381"/>
        <v>0.5</v>
      </c>
      <c r="G266" s="223">
        <f t="shared" si="364"/>
        <v>0.25</v>
      </c>
      <c r="H266" s="223">
        <f t="shared" si="365"/>
        <v>2.5</v>
      </c>
      <c r="I266" s="223">
        <f t="shared" si="366"/>
        <v>0.82499999999999996</v>
      </c>
      <c r="J266" s="559">
        <f t="shared" si="332"/>
        <v>48</v>
      </c>
      <c r="K266" s="454">
        <f t="shared" si="333"/>
        <v>15.899999999999999</v>
      </c>
      <c r="L266" s="454">
        <f t="shared" si="334"/>
        <v>63.9</v>
      </c>
      <c r="M266" s="454"/>
      <c r="N266" s="223">
        <f t="shared" si="335"/>
        <v>0.24882629107981219</v>
      </c>
      <c r="O266" s="178">
        <f t="shared" si="367"/>
        <v>6.0616329556285065</v>
      </c>
      <c r="P266" s="178">
        <f t="shared" si="368"/>
        <v>2.6604507042253513</v>
      </c>
      <c r="Q266" s="223">
        <f t="shared" si="338"/>
        <v>1.2123265911257013</v>
      </c>
      <c r="R266" s="223">
        <f t="shared" si="369"/>
        <v>1.8368584714025777</v>
      </c>
      <c r="S266" s="223">
        <f t="shared" si="370"/>
        <v>5</v>
      </c>
      <c r="T266" s="223">
        <f t="shared" si="371"/>
        <v>0.61864517819706499</v>
      </c>
      <c r="U266" s="223">
        <f t="shared" si="342"/>
        <v>0.38665323637316562</v>
      </c>
      <c r="V266" s="223">
        <f t="shared" si="343"/>
        <v>1.1672550532020094</v>
      </c>
      <c r="W266" s="203">
        <f t="shared" si="344"/>
        <v>350</v>
      </c>
      <c r="X266" s="454">
        <f t="shared" si="345"/>
        <v>350</v>
      </c>
      <c r="Z266" s="223">
        <f t="shared" si="346"/>
        <v>1.1374916163648559</v>
      </c>
      <c r="AA266" s="179">
        <f t="shared" si="347"/>
        <v>2.1462105969148224</v>
      </c>
      <c r="AB266" s="179">
        <f t="shared" si="372"/>
        <v>0.96366969510948308</v>
      </c>
      <c r="AC266" s="179"/>
      <c r="AD266" s="179">
        <f t="shared" si="349"/>
        <v>0.5660377358490567</v>
      </c>
      <c r="AE266" s="563">
        <f t="shared" si="373"/>
        <v>1962.9629629629628</v>
      </c>
      <c r="AF266" s="546">
        <f t="shared" si="374"/>
        <v>8.9150943396226423E-2</v>
      </c>
      <c r="AH266" s="179">
        <f t="shared" si="375"/>
        <v>0.79582242575422146</v>
      </c>
      <c r="AI266" s="179">
        <f t="shared" si="376"/>
        <v>0.79582242575422146</v>
      </c>
      <c r="AJ266" s="179">
        <f t="shared" si="377"/>
        <v>1.5672758709290529</v>
      </c>
      <c r="AL266" s="563">
        <f t="shared" si="378"/>
        <v>500</v>
      </c>
      <c r="AM266" s="472">
        <f t="shared" si="379"/>
        <v>350</v>
      </c>
      <c r="AO266">
        <f t="shared" si="357"/>
        <v>500</v>
      </c>
      <c r="AP266">
        <f t="shared" si="358"/>
        <v>350</v>
      </c>
      <c r="AR266" s="6">
        <f t="shared" si="382"/>
        <v>2.8571428571428572</v>
      </c>
      <c r="AS266" s="6">
        <f t="shared" si="361"/>
        <v>0.49738901609638841</v>
      </c>
      <c r="AT266" s="6">
        <f t="shared" si="362"/>
        <v>2.3597538410464689</v>
      </c>
      <c r="AU266" s="179">
        <f t="shared" si="363"/>
        <v>0.17408615563373595</v>
      </c>
      <c r="CD266" s="581">
        <f t="shared" si="380"/>
        <v>-50</v>
      </c>
    </row>
    <row r="267" spans="5:82" x14ac:dyDescent="0.2">
      <c r="E267" s="176">
        <v>51</v>
      </c>
      <c r="F267" s="223">
        <f t="shared" si="381"/>
        <v>0.51</v>
      </c>
      <c r="G267" s="223">
        <f t="shared" si="364"/>
        <v>0.255</v>
      </c>
      <c r="H267" s="223">
        <f t="shared" si="365"/>
        <v>2.5499999999999998</v>
      </c>
      <c r="I267" s="223">
        <f t="shared" si="366"/>
        <v>0.84149999999999991</v>
      </c>
      <c r="J267" s="559">
        <f t="shared" si="332"/>
        <v>48</v>
      </c>
      <c r="K267" s="454">
        <f t="shared" si="333"/>
        <v>15.899999999999999</v>
      </c>
      <c r="L267" s="454">
        <f t="shared" si="334"/>
        <v>63.9</v>
      </c>
      <c r="M267" s="454"/>
      <c r="N267" s="223">
        <f t="shared" si="335"/>
        <v>0.24882629107981219</v>
      </c>
      <c r="O267" s="178">
        <f t="shared" si="367"/>
        <v>6.0616329556285065</v>
      </c>
      <c r="P267" s="178">
        <f t="shared" si="368"/>
        <v>2.6604507042253513</v>
      </c>
      <c r="Q267" s="223">
        <f t="shared" si="338"/>
        <v>1.2123265911257013</v>
      </c>
      <c r="R267" s="223">
        <f t="shared" si="369"/>
        <v>1.8368584714025777</v>
      </c>
      <c r="S267" s="223">
        <f t="shared" si="370"/>
        <v>5</v>
      </c>
      <c r="T267" s="223">
        <f t="shared" si="371"/>
        <v>0.63101808176100627</v>
      </c>
      <c r="U267" s="223">
        <f t="shared" si="342"/>
        <v>0.39438630110062894</v>
      </c>
      <c r="V267" s="223">
        <f t="shared" si="343"/>
        <v>1.1906001542660496</v>
      </c>
      <c r="W267" s="203">
        <f t="shared" si="344"/>
        <v>350</v>
      </c>
      <c r="X267" s="454">
        <f t="shared" si="345"/>
        <v>350</v>
      </c>
      <c r="Z267" s="223">
        <f t="shared" si="346"/>
        <v>1.1374916163648559</v>
      </c>
      <c r="AA267" s="179">
        <f t="shared" si="347"/>
        <v>2.1462105969148224</v>
      </c>
      <c r="AB267" s="179">
        <f t="shared" si="372"/>
        <v>0.96366969510948308</v>
      </c>
      <c r="AC267" s="179"/>
      <c r="AD267" s="179">
        <f t="shared" si="349"/>
        <v>0.5660377358490567</v>
      </c>
      <c r="AE267" s="563">
        <f t="shared" si="373"/>
        <v>2002.2222222222219</v>
      </c>
      <c r="AF267" s="546">
        <f t="shared" si="374"/>
        <v>8.9150943396226423E-2</v>
      </c>
      <c r="AH267" s="179">
        <f t="shared" si="375"/>
        <v>0.80374125189640477</v>
      </c>
      <c r="AI267" s="179">
        <f t="shared" si="376"/>
        <v>0.80374125189640477</v>
      </c>
      <c r="AJ267" s="179">
        <f t="shared" si="377"/>
        <v>1.573141668071411</v>
      </c>
      <c r="AL267" s="563">
        <f t="shared" si="378"/>
        <v>510</v>
      </c>
      <c r="AM267" s="472">
        <f t="shared" si="379"/>
        <v>350</v>
      </c>
      <c r="AO267">
        <f t="shared" si="357"/>
        <v>510</v>
      </c>
      <c r="AP267">
        <f t="shared" si="358"/>
        <v>350</v>
      </c>
      <c r="AR267" s="6">
        <f t="shared" si="382"/>
        <v>2.8571428571428572</v>
      </c>
      <c r="AS267" s="6">
        <f t="shared" si="361"/>
        <v>0.50233828243525303</v>
      </c>
      <c r="AT267" s="6">
        <f t="shared" si="362"/>
        <v>2.3548045747076043</v>
      </c>
      <c r="AU267" s="179">
        <f t="shared" si="363"/>
        <v>0.17581839885233855</v>
      </c>
      <c r="CD267" s="581">
        <f t="shared" si="380"/>
        <v>-50</v>
      </c>
    </row>
    <row r="268" spans="5:82" x14ac:dyDescent="0.2">
      <c r="E268" s="176">
        <v>52</v>
      </c>
      <c r="F268" s="223">
        <f t="shared" si="381"/>
        <v>0.52</v>
      </c>
      <c r="G268" s="223">
        <f t="shared" si="364"/>
        <v>0.26</v>
      </c>
      <c r="H268" s="223">
        <f t="shared" si="365"/>
        <v>2.6</v>
      </c>
      <c r="I268" s="223">
        <f t="shared" si="366"/>
        <v>0.85799999999999998</v>
      </c>
      <c r="J268" s="559">
        <f t="shared" si="332"/>
        <v>48</v>
      </c>
      <c r="K268" s="454">
        <f t="shared" si="333"/>
        <v>15.899999999999999</v>
      </c>
      <c r="L268" s="454">
        <f t="shared" si="334"/>
        <v>63.9</v>
      </c>
      <c r="M268" s="454"/>
      <c r="N268" s="223">
        <f t="shared" si="335"/>
        <v>0.24882629107981219</v>
      </c>
      <c r="O268" s="178">
        <f t="shared" si="367"/>
        <v>6.0616329556285065</v>
      </c>
      <c r="P268" s="178">
        <f t="shared" si="368"/>
        <v>2.6604507042253513</v>
      </c>
      <c r="Q268" s="223">
        <f t="shared" si="338"/>
        <v>1.2123265911257013</v>
      </c>
      <c r="R268" s="223">
        <f t="shared" si="369"/>
        <v>1.8368584714025777</v>
      </c>
      <c r="S268" s="223">
        <f t="shared" si="370"/>
        <v>5</v>
      </c>
      <c r="T268" s="223">
        <f t="shared" si="371"/>
        <v>0.64339098532494765</v>
      </c>
      <c r="U268" s="223">
        <f t="shared" si="342"/>
        <v>0.40211936582809227</v>
      </c>
      <c r="V268" s="223">
        <f t="shared" si="343"/>
        <v>1.21394525533009</v>
      </c>
      <c r="W268" s="203">
        <f t="shared" si="344"/>
        <v>350</v>
      </c>
      <c r="X268" s="454">
        <f t="shared" si="345"/>
        <v>350</v>
      </c>
      <c r="Z268" s="223">
        <f t="shared" si="346"/>
        <v>1.1374916163648559</v>
      </c>
      <c r="AA268" s="179">
        <f t="shared" si="347"/>
        <v>2.1462105969148224</v>
      </c>
      <c r="AB268" s="179">
        <f t="shared" si="372"/>
        <v>0.96366969510948308</v>
      </c>
      <c r="AC268" s="179"/>
      <c r="AD268" s="179">
        <f t="shared" si="349"/>
        <v>0.5660377358490567</v>
      </c>
      <c r="AE268" s="563">
        <f t="shared" si="373"/>
        <v>2041.4814814814811</v>
      </c>
      <c r="AF268" s="546">
        <f t="shared" si="374"/>
        <v>8.9150943396226423E-2</v>
      </c>
      <c r="AH268" s="179">
        <f t="shared" si="375"/>
        <v>0.81158281565510415</v>
      </c>
      <c r="AI268" s="179">
        <f t="shared" si="376"/>
        <v>0.81158281565510415</v>
      </c>
      <c r="AJ268" s="179">
        <f t="shared" si="377"/>
        <v>1.5789502338185957</v>
      </c>
      <c r="AL268" s="563">
        <f t="shared" si="378"/>
        <v>520</v>
      </c>
      <c r="AM268" s="472">
        <f t="shared" si="379"/>
        <v>350</v>
      </c>
      <c r="AO268">
        <f t="shared" si="357"/>
        <v>520</v>
      </c>
      <c r="AP268">
        <f t="shared" si="358"/>
        <v>350</v>
      </c>
      <c r="AR268" s="6">
        <f t="shared" si="382"/>
        <v>2.8571428571428572</v>
      </c>
      <c r="AS268" s="6">
        <f t="shared" si="361"/>
        <v>0.50723925978444007</v>
      </c>
      <c r="AT268" s="6">
        <f t="shared" si="362"/>
        <v>2.3499035973584173</v>
      </c>
      <c r="AU268" s="179">
        <f t="shared" si="363"/>
        <v>0.17753374092455401</v>
      </c>
      <c r="CD268" s="581">
        <f t="shared" si="380"/>
        <v>-50</v>
      </c>
    </row>
    <row r="269" spans="5:82" x14ac:dyDescent="0.2">
      <c r="E269" s="176">
        <v>53</v>
      </c>
      <c r="F269" s="223">
        <f t="shared" si="381"/>
        <v>0.53</v>
      </c>
      <c r="G269" s="223">
        <f t="shared" si="364"/>
        <v>0.26500000000000001</v>
      </c>
      <c r="H269" s="223">
        <f t="shared" si="365"/>
        <v>2.6500000000000004</v>
      </c>
      <c r="I269" s="223">
        <f t="shared" si="366"/>
        <v>0.87449999999999994</v>
      </c>
      <c r="J269" s="559">
        <f t="shared" si="332"/>
        <v>48</v>
      </c>
      <c r="K269" s="454">
        <f t="shared" si="333"/>
        <v>15.899999999999999</v>
      </c>
      <c r="L269" s="454">
        <f t="shared" si="334"/>
        <v>63.9</v>
      </c>
      <c r="M269" s="454"/>
      <c r="N269" s="223">
        <f t="shared" si="335"/>
        <v>0.24882629107981219</v>
      </c>
      <c r="O269" s="178">
        <f t="shared" si="367"/>
        <v>6.0616329556285065</v>
      </c>
      <c r="P269" s="178">
        <f t="shared" si="368"/>
        <v>2.6604507042253513</v>
      </c>
      <c r="Q269" s="223">
        <f t="shared" si="338"/>
        <v>1.2123265911257013</v>
      </c>
      <c r="R269" s="223">
        <f t="shared" si="369"/>
        <v>1.8368584714025777</v>
      </c>
      <c r="S269" s="223">
        <f t="shared" si="370"/>
        <v>5</v>
      </c>
      <c r="T269" s="223">
        <f t="shared" si="371"/>
        <v>0.65576388888888892</v>
      </c>
      <c r="U269" s="223">
        <f t="shared" si="342"/>
        <v>0.40985243055555565</v>
      </c>
      <c r="V269" s="223">
        <f t="shared" si="343"/>
        <v>1.2372903563941302</v>
      </c>
      <c r="W269" s="203">
        <f t="shared" si="344"/>
        <v>350</v>
      </c>
      <c r="X269" s="454">
        <f t="shared" si="345"/>
        <v>350</v>
      </c>
      <c r="Z269" s="223">
        <f t="shared" si="346"/>
        <v>1.1374916163648559</v>
      </c>
      <c r="AA269" s="179">
        <f t="shared" si="347"/>
        <v>2.1462105969148224</v>
      </c>
      <c r="AB269" s="179">
        <f t="shared" si="372"/>
        <v>0.96366969510948308</v>
      </c>
      <c r="AC269" s="179"/>
      <c r="AD269" s="179">
        <f t="shared" si="349"/>
        <v>0.5660377358490567</v>
      </c>
      <c r="AE269" s="563">
        <f t="shared" si="373"/>
        <v>2080.7407407407404</v>
      </c>
      <c r="AF269" s="546">
        <f t="shared" si="374"/>
        <v>8.9150943396226423E-2</v>
      </c>
      <c r="AH269" s="179">
        <f t="shared" si="375"/>
        <v>0.81934933534685517</v>
      </c>
      <c r="AI269" s="179">
        <f t="shared" si="376"/>
        <v>0.81934933534685517</v>
      </c>
      <c r="AJ269" s="179">
        <f t="shared" si="377"/>
        <v>1.5847032113680408</v>
      </c>
      <c r="AL269" s="563">
        <f t="shared" si="378"/>
        <v>530</v>
      </c>
      <c r="AM269" s="472">
        <f t="shared" si="379"/>
        <v>350</v>
      </c>
      <c r="AO269">
        <f t="shared" si="357"/>
        <v>530</v>
      </c>
      <c r="AP269">
        <f t="shared" si="358"/>
        <v>350</v>
      </c>
      <c r="AR269" s="6">
        <f t="shared" si="382"/>
        <v>2.8571428571428572</v>
      </c>
      <c r="AS269" s="6">
        <f t="shared" si="361"/>
        <v>0.51209333459178441</v>
      </c>
      <c r="AT269" s="6">
        <f t="shared" si="362"/>
        <v>2.345049522551073</v>
      </c>
      <c r="AU269" s="179">
        <f t="shared" si="363"/>
        <v>0.17923266710712454</v>
      </c>
      <c r="CD269" s="581">
        <f t="shared" si="380"/>
        <v>-50</v>
      </c>
    </row>
    <row r="270" spans="5:82" x14ac:dyDescent="0.2">
      <c r="E270" s="176">
        <v>54</v>
      </c>
      <c r="F270" s="223">
        <f t="shared" si="381"/>
        <v>0.54</v>
      </c>
      <c r="G270" s="223">
        <f t="shared" si="364"/>
        <v>0.27</v>
      </c>
      <c r="H270" s="223">
        <f t="shared" si="365"/>
        <v>2.7</v>
      </c>
      <c r="I270" s="223">
        <f t="shared" si="366"/>
        <v>0.89100000000000001</v>
      </c>
      <c r="J270" s="559">
        <f t="shared" si="332"/>
        <v>48</v>
      </c>
      <c r="K270" s="454">
        <f t="shared" si="333"/>
        <v>15.899999999999999</v>
      </c>
      <c r="L270" s="454">
        <f t="shared" si="334"/>
        <v>63.9</v>
      </c>
      <c r="M270" s="454"/>
      <c r="N270" s="223">
        <f t="shared" si="335"/>
        <v>0.24882629107981219</v>
      </c>
      <c r="O270" s="178">
        <f t="shared" si="367"/>
        <v>6.0616329556285065</v>
      </c>
      <c r="P270" s="178">
        <f t="shared" si="368"/>
        <v>2.6604507042253513</v>
      </c>
      <c r="Q270" s="223">
        <f t="shared" si="338"/>
        <v>1.2123265911257013</v>
      </c>
      <c r="R270" s="223">
        <f t="shared" si="369"/>
        <v>1.8368584714025777</v>
      </c>
      <c r="S270" s="223">
        <f t="shared" si="370"/>
        <v>5</v>
      </c>
      <c r="T270" s="223">
        <f t="shared" si="371"/>
        <v>0.6681367924528302</v>
      </c>
      <c r="U270" s="223">
        <f t="shared" si="342"/>
        <v>0.41758549528301891</v>
      </c>
      <c r="V270" s="223">
        <f t="shared" si="343"/>
        <v>1.2606354574581704</v>
      </c>
      <c r="W270" s="203">
        <f t="shared" si="344"/>
        <v>350</v>
      </c>
      <c r="X270" s="454">
        <f t="shared" si="345"/>
        <v>350</v>
      </c>
      <c r="Z270" s="223">
        <f t="shared" si="346"/>
        <v>1.1374916163648559</v>
      </c>
      <c r="AA270" s="179">
        <f t="shared" si="347"/>
        <v>2.1462105969148224</v>
      </c>
      <c r="AB270" s="179">
        <f t="shared" si="372"/>
        <v>0.96366969510948308</v>
      </c>
      <c r="AC270" s="179"/>
      <c r="AD270" s="179">
        <f t="shared" si="349"/>
        <v>0.5660377358490567</v>
      </c>
      <c r="AE270" s="563">
        <f t="shared" si="373"/>
        <v>2119.9999999999995</v>
      </c>
      <c r="AF270" s="546">
        <f t="shared" si="374"/>
        <v>8.9150943396226423E-2</v>
      </c>
      <c r="AH270" s="179">
        <f t="shared" si="375"/>
        <v>0.82704292512541333</v>
      </c>
      <c r="AI270" s="179">
        <f t="shared" si="376"/>
        <v>0.82704292512541333</v>
      </c>
      <c r="AJ270" s="179">
        <f t="shared" si="377"/>
        <v>1.5904021667595654</v>
      </c>
      <c r="AL270" s="563">
        <f t="shared" si="378"/>
        <v>540</v>
      </c>
      <c r="AM270" s="472">
        <f t="shared" si="379"/>
        <v>350</v>
      </c>
      <c r="AO270">
        <f t="shared" si="357"/>
        <v>540</v>
      </c>
      <c r="AP270">
        <f t="shared" si="358"/>
        <v>350</v>
      </c>
      <c r="AR270" s="6">
        <f t="shared" si="382"/>
        <v>2.8571428571428572</v>
      </c>
      <c r="AS270" s="6">
        <f t="shared" si="361"/>
        <v>0.51690182820338337</v>
      </c>
      <c r="AT270" s="6">
        <f t="shared" si="362"/>
        <v>2.3402410289394737</v>
      </c>
      <c r="AU270" s="179">
        <f t="shared" si="363"/>
        <v>0.18091563987118417</v>
      </c>
      <c r="CD270" s="581">
        <f t="shared" si="380"/>
        <v>-50</v>
      </c>
    </row>
    <row r="271" spans="5:82" x14ac:dyDescent="0.2">
      <c r="E271" s="176">
        <v>55</v>
      </c>
      <c r="F271" s="223">
        <f t="shared" si="381"/>
        <v>0.55000000000000004</v>
      </c>
      <c r="G271" s="223">
        <f t="shared" si="364"/>
        <v>0.27500000000000002</v>
      </c>
      <c r="H271" s="223">
        <f t="shared" si="365"/>
        <v>2.75</v>
      </c>
      <c r="I271" s="223">
        <f t="shared" si="366"/>
        <v>0.90749999999999997</v>
      </c>
      <c r="J271" s="559">
        <f t="shared" si="332"/>
        <v>48</v>
      </c>
      <c r="K271" s="454">
        <f t="shared" si="333"/>
        <v>15.899999999999999</v>
      </c>
      <c r="L271" s="454">
        <f t="shared" si="334"/>
        <v>63.9</v>
      </c>
      <c r="M271" s="454"/>
      <c r="N271" s="223">
        <f t="shared" si="335"/>
        <v>0.24882629107981219</v>
      </c>
      <c r="O271" s="178">
        <f t="shared" si="367"/>
        <v>6.0616329556285065</v>
      </c>
      <c r="P271" s="178">
        <f t="shared" si="368"/>
        <v>2.6604507042253513</v>
      </c>
      <c r="Q271" s="223">
        <f t="shared" si="338"/>
        <v>1.2123265911257013</v>
      </c>
      <c r="R271" s="223">
        <f t="shared" si="369"/>
        <v>1.8368584714025777</v>
      </c>
      <c r="S271" s="223">
        <f t="shared" si="370"/>
        <v>5</v>
      </c>
      <c r="T271" s="223">
        <f t="shared" si="371"/>
        <v>0.68050969601677147</v>
      </c>
      <c r="U271" s="223">
        <f t="shared" si="342"/>
        <v>0.42531856001048218</v>
      </c>
      <c r="V271" s="223">
        <f t="shared" si="343"/>
        <v>1.2839805585222106</v>
      </c>
      <c r="W271" s="203">
        <f t="shared" si="344"/>
        <v>350</v>
      </c>
      <c r="X271" s="454">
        <f t="shared" si="345"/>
        <v>350</v>
      </c>
      <c r="Z271" s="223">
        <f t="shared" si="346"/>
        <v>1.1374916163648559</v>
      </c>
      <c r="AA271" s="179">
        <f t="shared" si="347"/>
        <v>2.1462105969148224</v>
      </c>
      <c r="AB271" s="179">
        <f t="shared" si="372"/>
        <v>0.96366969510948308</v>
      </c>
      <c r="AC271" s="179"/>
      <c r="AD271" s="179">
        <f t="shared" si="349"/>
        <v>0.5660377358490567</v>
      </c>
      <c r="AE271" s="563">
        <f t="shared" si="373"/>
        <v>2159.2592592592587</v>
      </c>
      <c r="AF271" s="546">
        <f t="shared" si="374"/>
        <v>8.9150943396226423E-2</v>
      </c>
      <c r="AH271" s="179">
        <f t="shared" si="375"/>
        <v>0.83466560170326098</v>
      </c>
      <c r="AI271" s="179">
        <f t="shared" si="376"/>
        <v>0.83466560170326098</v>
      </c>
      <c r="AJ271" s="179">
        <f t="shared" si="377"/>
        <v>1.5960485938542672</v>
      </c>
      <c r="AL271" s="563">
        <f t="shared" si="378"/>
        <v>550</v>
      </c>
      <c r="AM271" s="472">
        <f t="shared" si="379"/>
        <v>350</v>
      </c>
      <c r="AO271">
        <f t="shared" si="357"/>
        <v>550</v>
      </c>
      <c r="AP271">
        <f t="shared" si="358"/>
        <v>350</v>
      </c>
      <c r="AR271" s="6">
        <f t="shared" si="382"/>
        <v>2.8571428571428572</v>
      </c>
      <c r="AS271" s="6">
        <f t="shared" si="361"/>
        <v>0.52166600106453809</v>
      </c>
      <c r="AT271" s="6">
        <f t="shared" si="362"/>
        <v>2.3354768560783192</v>
      </c>
      <c r="AU271" s="179">
        <f t="shared" si="363"/>
        <v>0.18258310037258832</v>
      </c>
      <c r="CD271" s="581">
        <f t="shared" si="380"/>
        <v>-50</v>
      </c>
    </row>
    <row r="272" spans="5:82" x14ac:dyDescent="0.2">
      <c r="E272" s="176">
        <v>56</v>
      </c>
      <c r="F272" s="223">
        <f t="shared" si="381"/>
        <v>0.56000000000000005</v>
      </c>
      <c r="G272" s="223">
        <f t="shared" si="364"/>
        <v>0.28000000000000003</v>
      </c>
      <c r="H272" s="223">
        <f t="shared" si="365"/>
        <v>2.8000000000000003</v>
      </c>
      <c r="I272" s="223">
        <f t="shared" si="366"/>
        <v>0.92400000000000004</v>
      </c>
      <c r="J272" s="559">
        <f t="shared" si="332"/>
        <v>48</v>
      </c>
      <c r="K272" s="454">
        <f t="shared" si="333"/>
        <v>15.899999999999999</v>
      </c>
      <c r="L272" s="454">
        <f t="shared" si="334"/>
        <v>63.9</v>
      </c>
      <c r="M272" s="454"/>
      <c r="N272" s="223">
        <f t="shared" si="335"/>
        <v>0.24882629107981219</v>
      </c>
      <c r="O272" s="178">
        <f t="shared" si="367"/>
        <v>6.0616329556285065</v>
      </c>
      <c r="P272" s="178">
        <f t="shared" si="368"/>
        <v>2.6604507042253513</v>
      </c>
      <c r="Q272" s="223">
        <f t="shared" si="338"/>
        <v>1.2123265911257013</v>
      </c>
      <c r="R272" s="223">
        <f t="shared" si="369"/>
        <v>1.8368584714025777</v>
      </c>
      <c r="S272" s="223">
        <f t="shared" si="370"/>
        <v>5</v>
      </c>
      <c r="T272" s="223">
        <f t="shared" si="371"/>
        <v>0.69288259958071285</v>
      </c>
      <c r="U272" s="223">
        <f t="shared" si="342"/>
        <v>0.43305162473794551</v>
      </c>
      <c r="V272" s="223">
        <f t="shared" si="343"/>
        <v>1.3073256595862508</v>
      </c>
      <c r="W272" s="203">
        <f t="shared" si="344"/>
        <v>350</v>
      </c>
      <c r="X272" s="454">
        <f t="shared" si="345"/>
        <v>350</v>
      </c>
      <c r="Z272" s="223">
        <f t="shared" si="346"/>
        <v>1.1374916163648559</v>
      </c>
      <c r="AA272" s="179">
        <f t="shared" si="347"/>
        <v>2.1462105969148224</v>
      </c>
      <c r="AB272" s="179">
        <f t="shared" si="372"/>
        <v>0.96366969510948308</v>
      </c>
      <c r="AC272" s="179"/>
      <c r="AD272" s="179">
        <f t="shared" si="349"/>
        <v>0.5660377358490567</v>
      </c>
      <c r="AE272" s="563">
        <f t="shared" si="373"/>
        <v>2198.5185185185182</v>
      </c>
      <c r="AF272" s="546">
        <f t="shared" si="374"/>
        <v>8.9150943396226423E-2</v>
      </c>
      <c r="AH272" s="179">
        <f t="shared" si="375"/>
        <v>0.84221929052553368</v>
      </c>
      <c r="AI272" s="179">
        <f t="shared" si="376"/>
        <v>0.84221929052553368</v>
      </c>
      <c r="AJ272" s="179">
        <f t="shared" si="377"/>
        <v>1.6016439189078027</v>
      </c>
      <c r="AL272" s="563">
        <f t="shared" si="378"/>
        <v>560</v>
      </c>
      <c r="AM272" s="472">
        <f t="shared" si="379"/>
        <v>350</v>
      </c>
      <c r="AO272">
        <f t="shared" si="357"/>
        <v>560</v>
      </c>
      <c r="AP272">
        <f t="shared" si="358"/>
        <v>350</v>
      </c>
      <c r="AR272" s="6">
        <f t="shared" si="382"/>
        <v>2.8571428571428572</v>
      </c>
      <c r="AS272" s="6">
        <f t="shared" si="361"/>
        <v>0.52638705657845863</v>
      </c>
      <c r="AT272" s="6">
        <f t="shared" si="362"/>
        <v>2.3307558005643987</v>
      </c>
      <c r="AU272" s="179">
        <f t="shared" si="363"/>
        <v>0.18423546980246053</v>
      </c>
      <c r="CD272" s="581">
        <f t="shared" si="380"/>
        <v>-50</v>
      </c>
    </row>
    <row r="273" spans="5:82" x14ac:dyDescent="0.2">
      <c r="E273" s="176">
        <v>57</v>
      </c>
      <c r="F273" s="223">
        <f t="shared" si="381"/>
        <v>0.56999999999999995</v>
      </c>
      <c r="G273" s="223">
        <f t="shared" si="364"/>
        <v>0.28499999999999998</v>
      </c>
      <c r="H273" s="223">
        <f t="shared" si="365"/>
        <v>2.8499999999999996</v>
      </c>
      <c r="I273" s="223">
        <f t="shared" si="366"/>
        <v>0.94049999999999989</v>
      </c>
      <c r="J273" s="559">
        <f t="shared" si="332"/>
        <v>48</v>
      </c>
      <c r="K273" s="454">
        <f t="shared" si="333"/>
        <v>15.899999999999999</v>
      </c>
      <c r="L273" s="454">
        <f t="shared" si="334"/>
        <v>63.9</v>
      </c>
      <c r="M273" s="454"/>
      <c r="N273" s="223">
        <f t="shared" si="335"/>
        <v>0.24882629107981219</v>
      </c>
      <c r="O273" s="178">
        <f t="shared" si="367"/>
        <v>6.0616329556285065</v>
      </c>
      <c r="P273" s="178">
        <f t="shared" si="368"/>
        <v>2.6604507042253513</v>
      </c>
      <c r="Q273" s="223">
        <f t="shared" si="338"/>
        <v>1.2123265911257013</v>
      </c>
      <c r="R273" s="223">
        <f t="shared" si="369"/>
        <v>1.8368584714025777</v>
      </c>
      <c r="S273" s="223">
        <f t="shared" si="370"/>
        <v>5</v>
      </c>
      <c r="T273" s="223">
        <f t="shared" si="371"/>
        <v>0.70525550314465402</v>
      </c>
      <c r="U273" s="223">
        <f t="shared" si="342"/>
        <v>0.44078468946540877</v>
      </c>
      <c r="V273" s="223">
        <f t="shared" si="343"/>
        <v>1.3306707606502908</v>
      </c>
      <c r="W273" s="203">
        <f t="shared" si="344"/>
        <v>350</v>
      </c>
      <c r="X273" s="454">
        <f t="shared" si="345"/>
        <v>350</v>
      </c>
      <c r="Z273" s="223">
        <f t="shared" si="346"/>
        <v>1.1374916163648559</v>
      </c>
      <c r="AA273" s="179">
        <f t="shared" si="347"/>
        <v>2.1462105969148224</v>
      </c>
      <c r="AB273" s="179">
        <f t="shared" si="372"/>
        <v>0.96366969510948308</v>
      </c>
      <c r="AC273" s="179"/>
      <c r="AD273" s="179">
        <f t="shared" si="349"/>
        <v>0.5660377358490567</v>
      </c>
      <c r="AE273" s="563">
        <f t="shared" si="373"/>
        <v>2237.7777777777769</v>
      </c>
      <c r="AF273" s="546">
        <f t="shared" si="374"/>
        <v>8.9150943396226423E-2</v>
      </c>
      <c r="AH273" s="179">
        <f t="shared" si="375"/>
        <v>0.84970583144992007</v>
      </c>
      <c r="AI273" s="179">
        <f t="shared" si="376"/>
        <v>0.84970583144992007</v>
      </c>
      <c r="AJ273" s="179">
        <f t="shared" si="377"/>
        <v>1.6071895047777187</v>
      </c>
      <c r="AL273" s="563">
        <f t="shared" si="378"/>
        <v>570</v>
      </c>
      <c r="AM273" s="472">
        <f t="shared" si="379"/>
        <v>350</v>
      </c>
      <c r="AO273">
        <f t="shared" si="357"/>
        <v>570</v>
      </c>
      <c r="AP273">
        <f t="shared" si="358"/>
        <v>350</v>
      </c>
      <c r="AR273" s="6">
        <f t="shared" si="382"/>
        <v>2.8571428571428572</v>
      </c>
      <c r="AS273" s="6">
        <f t="shared" si="361"/>
        <v>0.53106614465620006</v>
      </c>
      <c r="AT273" s="6">
        <f t="shared" si="362"/>
        <v>2.3260767124866573</v>
      </c>
      <c r="AU273" s="179">
        <f t="shared" si="363"/>
        <v>0.18587315062967003</v>
      </c>
      <c r="CD273" s="581">
        <f t="shared" si="380"/>
        <v>-50</v>
      </c>
    </row>
    <row r="274" spans="5:82" x14ac:dyDescent="0.2">
      <c r="E274" s="176">
        <v>58</v>
      </c>
      <c r="F274" s="223">
        <f t="shared" si="381"/>
        <v>0.57999999999999996</v>
      </c>
      <c r="G274" s="223">
        <f t="shared" si="364"/>
        <v>0.28999999999999998</v>
      </c>
      <c r="H274" s="223">
        <f t="shared" si="365"/>
        <v>2.9</v>
      </c>
      <c r="I274" s="223">
        <f t="shared" si="366"/>
        <v>0.95699999999999985</v>
      </c>
      <c r="J274" s="559">
        <f t="shared" si="332"/>
        <v>48</v>
      </c>
      <c r="K274" s="454">
        <f t="shared" si="333"/>
        <v>15.899999999999999</v>
      </c>
      <c r="L274" s="454">
        <f t="shared" si="334"/>
        <v>63.9</v>
      </c>
      <c r="M274" s="454"/>
      <c r="N274" s="223">
        <f t="shared" si="335"/>
        <v>0.24882629107981219</v>
      </c>
      <c r="O274" s="178">
        <f t="shared" si="367"/>
        <v>6.0616329556285065</v>
      </c>
      <c r="P274" s="178">
        <f t="shared" si="368"/>
        <v>2.6604507042253513</v>
      </c>
      <c r="Q274" s="223">
        <f t="shared" si="338"/>
        <v>1.2123265911257013</v>
      </c>
      <c r="R274" s="223">
        <f t="shared" si="369"/>
        <v>1.8368584714025777</v>
      </c>
      <c r="S274" s="223">
        <f t="shared" si="370"/>
        <v>5</v>
      </c>
      <c r="T274" s="223">
        <f t="shared" si="371"/>
        <v>0.7176284067085954</v>
      </c>
      <c r="U274" s="223">
        <f t="shared" si="342"/>
        <v>0.44851775419287215</v>
      </c>
      <c r="V274" s="223">
        <f t="shared" si="343"/>
        <v>1.3540158617143312</v>
      </c>
      <c r="W274" s="203">
        <f t="shared" si="344"/>
        <v>350</v>
      </c>
      <c r="X274" s="454">
        <f t="shared" si="345"/>
        <v>350</v>
      </c>
      <c r="Z274" s="223">
        <f t="shared" si="346"/>
        <v>1.1374916163648559</v>
      </c>
      <c r="AA274" s="179">
        <f t="shared" si="347"/>
        <v>2.1462105969148224</v>
      </c>
      <c r="AB274" s="179">
        <f t="shared" si="372"/>
        <v>0.96366969510948308</v>
      </c>
      <c r="AC274" s="179"/>
      <c r="AD274" s="179">
        <f t="shared" si="349"/>
        <v>0.5660377358490567</v>
      </c>
      <c r="AE274" s="563">
        <f t="shared" si="373"/>
        <v>2277.0370370370365</v>
      </c>
      <c r="AF274" s="546">
        <f t="shared" si="374"/>
        <v>8.9150943396226423E-2</v>
      </c>
      <c r="AH274" s="179">
        <f t="shared" si="375"/>
        <v>0.85712698398000897</v>
      </c>
      <c r="AI274" s="179">
        <f t="shared" si="376"/>
        <v>0.85712698398000897</v>
      </c>
      <c r="AJ274" s="179">
        <f t="shared" si="377"/>
        <v>1.6126866548000067</v>
      </c>
      <c r="AL274" s="563">
        <f t="shared" si="378"/>
        <v>580</v>
      </c>
      <c r="AM274" s="472">
        <f t="shared" si="379"/>
        <v>350</v>
      </c>
      <c r="AO274">
        <f t="shared" si="357"/>
        <v>580</v>
      </c>
      <c r="AP274">
        <f t="shared" si="358"/>
        <v>350</v>
      </c>
      <c r="AR274" s="6">
        <f t="shared" si="382"/>
        <v>2.8571428571428572</v>
      </c>
      <c r="AS274" s="6">
        <f t="shared" si="361"/>
        <v>0.53570436498750562</v>
      </c>
      <c r="AT274" s="6">
        <f t="shared" si="362"/>
        <v>2.3214384921553517</v>
      </c>
      <c r="AU274" s="179">
        <f t="shared" si="363"/>
        <v>0.18749652774562697</v>
      </c>
      <c r="CD274" s="581">
        <f t="shared" si="380"/>
        <v>-50</v>
      </c>
    </row>
    <row r="275" spans="5:82" x14ac:dyDescent="0.2">
      <c r="E275" s="176">
        <v>59</v>
      </c>
      <c r="F275" s="223">
        <f t="shared" si="381"/>
        <v>0.59</v>
      </c>
      <c r="G275" s="223">
        <f t="shared" si="364"/>
        <v>0.29499999999999998</v>
      </c>
      <c r="H275" s="223">
        <f t="shared" si="365"/>
        <v>2.9499999999999997</v>
      </c>
      <c r="I275" s="223">
        <f t="shared" si="366"/>
        <v>0.97349999999999992</v>
      </c>
      <c r="J275" s="559">
        <f t="shared" si="332"/>
        <v>48</v>
      </c>
      <c r="K275" s="454">
        <f t="shared" si="333"/>
        <v>15.899999999999999</v>
      </c>
      <c r="L275" s="454">
        <f t="shared" si="334"/>
        <v>63.9</v>
      </c>
      <c r="M275" s="454"/>
      <c r="N275" s="223">
        <f t="shared" si="335"/>
        <v>0.24882629107981219</v>
      </c>
      <c r="O275" s="178">
        <f t="shared" si="367"/>
        <v>6.0616329556285065</v>
      </c>
      <c r="P275" s="178">
        <f t="shared" si="368"/>
        <v>2.6604507042253513</v>
      </c>
      <c r="Q275" s="223">
        <f t="shared" si="338"/>
        <v>1.2123265911257013</v>
      </c>
      <c r="R275" s="223">
        <f t="shared" si="369"/>
        <v>1.8368584714025777</v>
      </c>
      <c r="S275" s="223">
        <f t="shared" si="370"/>
        <v>5</v>
      </c>
      <c r="T275" s="223">
        <f t="shared" si="371"/>
        <v>0.73000131027253667</v>
      </c>
      <c r="U275" s="223">
        <f t="shared" si="342"/>
        <v>0.45625081892033542</v>
      </c>
      <c r="V275" s="223">
        <f t="shared" si="343"/>
        <v>1.3773609627783712</v>
      </c>
      <c r="W275" s="203">
        <f t="shared" si="344"/>
        <v>350</v>
      </c>
      <c r="X275" s="454">
        <f t="shared" si="345"/>
        <v>350</v>
      </c>
      <c r="Z275" s="223">
        <f t="shared" si="346"/>
        <v>1.1374916163648559</v>
      </c>
      <c r="AA275" s="179">
        <f t="shared" si="347"/>
        <v>2.1462105969148224</v>
      </c>
      <c r="AB275" s="179">
        <f t="shared" si="372"/>
        <v>0.96366969510948308</v>
      </c>
      <c r="AC275" s="179"/>
      <c r="AD275" s="179">
        <f t="shared" si="349"/>
        <v>0.5660377358490567</v>
      </c>
      <c r="AE275" s="563">
        <f t="shared" si="373"/>
        <v>2316.2962962962956</v>
      </c>
      <c r="AF275" s="546">
        <f t="shared" si="374"/>
        <v>8.9150943396226423E-2</v>
      </c>
      <c r="AH275" s="179">
        <f t="shared" si="375"/>
        <v>0.86448443209425885</v>
      </c>
      <c r="AI275" s="179">
        <f t="shared" si="376"/>
        <v>0.86448443209425885</v>
      </c>
      <c r="AJ275" s="179">
        <f t="shared" si="377"/>
        <v>1.6181366163661175</v>
      </c>
      <c r="AL275" s="563">
        <f t="shared" si="378"/>
        <v>590</v>
      </c>
      <c r="AM275" s="472">
        <f t="shared" si="379"/>
        <v>350</v>
      </c>
      <c r="AO275">
        <f t="shared" si="357"/>
        <v>590</v>
      </c>
      <c r="AP275">
        <f t="shared" si="358"/>
        <v>350</v>
      </c>
      <c r="AR275" s="6">
        <f t="shared" si="382"/>
        <v>2.8571428571428572</v>
      </c>
      <c r="AS275" s="6">
        <f t="shared" si="361"/>
        <v>0.54030277005891181</v>
      </c>
      <c r="AT275" s="6">
        <f t="shared" si="362"/>
        <v>2.3168400870839454</v>
      </c>
      <c r="AU275" s="179">
        <f t="shared" si="363"/>
        <v>0.18910596952061912</v>
      </c>
      <c r="CD275" s="581">
        <f t="shared" si="380"/>
        <v>-50</v>
      </c>
    </row>
    <row r="276" spans="5:82" x14ac:dyDescent="0.2">
      <c r="E276" s="176">
        <v>60</v>
      </c>
      <c r="F276" s="223">
        <f t="shared" si="381"/>
        <v>0.6</v>
      </c>
      <c r="G276" s="223">
        <f t="shared" si="364"/>
        <v>0.3</v>
      </c>
      <c r="H276" s="223">
        <f t="shared" si="365"/>
        <v>3</v>
      </c>
      <c r="I276" s="223">
        <f t="shared" si="366"/>
        <v>0.98999999999999988</v>
      </c>
      <c r="J276" s="559">
        <f t="shared" si="332"/>
        <v>48</v>
      </c>
      <c r="K276" s="454">
        <f t="shared" si="333"/>
        <v>15.899999999999999</v>
      </c>
      <c r="L276" s="454">
        <f t="shared" si="334"/>
        <v>63.9</v>
      </c>
      <c r="M276" s="454"/>
      <c r="N276" s="223">
        <f t="shared" si="335"/>
        <v>0.24882629107981219</v>
      </c>
      <c r="O276" s="178">
        <f t="shared" si="367"/>
        <v>6.0616329556285065</v>
      </c>
      <c r="P276" s="178">
        <f t="shared" si="368"/>
        <v>2.6604507042253513</v>
      </c>
      <c r="Q276" s="223">
        <f t="shared" si="338"/>
        <v>1.2123265911257013</v>
      </c>
      <c r="R276" s="223">
        <f t="shared" si="369"/>
        <v>1.8368584714025777</v>
      </c>
      <c r="S276" s="223">
        <f t="shared" si="370"/>
        <v>5</v>
      </c>
      <c r="T276" s="223">
        <f t="shared" si="371"/>
        <v>0.74237421383647795</v>
      </c>
      <c r="U276" s="223">
        <f t="shared" si="342"/>
        <v>0.46398388364779874</v>
      </c>
      <c r="V276" s="223">
        <f t="shared" si="343"/>
        <v>1.4007060638424114</v>
      </c>
      <c r="W276" s="203">
        <f t="shared" si="344"/>
        <v>350</v>
      </c>
      <c r="X276" s="454">
        <f t="shared" si="345"/>
        <v>350</v>
      </c>
      <c r="Z276" s="223">
        <f t="shared" si="346"/>
        <v>1.1374916163648559</v>
      </c>
      <c r="AA276" s="179">
        <f t="shared" si="347"/>
        <v>2.1462105969148224</v>
      </c>
      <c r="AB276" s="179">
        <f t="shared" si="372"/>
        <v>0.96366969510948308</v>
      </c>
      <c r="AC276" s="179"/>
      <c r="AD276" s="179">
        <f t="shared" si="349"/>
        <v>0.5660377358490567</v>
      </c>
      <c r="AE276" s="563">
        <f t="shared" si="373"/>
        <v>2355.5555555555552</v>
      </c>
      <c r="AF276" s="546">
        <f t="shared" si="374"/>
        <v>8.9150943396226423E-2</v>
      </c>
      <c r="AH276" s="179">
        <f t="shared" si="375"/>
        <v>0.87177978870813466</v>
      </c>
      <c r="AI276" s="179">
        <f t="shared" si="376"/>
        <v>0.87177978870813466</v>
      </c>
      <c r="AJ276" s="179">
        <f t="shared" si="377"/>
        <v>1.6235405842282478</v>
      </c>
      <c r="AL276" s="563">
        <f t="shared" si="378"/>
        <v>600</v>
      </c>
      <c r="AM276" s="472">
        <f t="shared" si="379"/>
        <v>350</v>
      </c>
      <c r="AO276">
        <f t="shared" si="357"/>
        <v>600</v>
      </c>
      <c r="AP276">
        <f t="shared" si="358"/>
        <v>350</v>
      </c>
      <c r="AR276" s="6">
        <f t="shared" si="382"/>
        <v>2.8571428571428572</v>
      </c>
      <c r="AS276" s="6">
        <f t="shared" si="361"/>
        <v>0.54486236794258414</v>
      </c>
      <c r="AT276" s="6">
        <f t="shared" si="362"/>
        <v>2.3122804892002731</v>
      </c>
      <c r="AU276" s="179">
        <f t="shared" si="363"/>
        <v>0.19070182877990444</v>
      </c>
      <c r="CD276" s="581">
        <f t="shared" si="380"/>
        <v>-50</v>
      </c>
    </row>
    <row r="277" spans="5:82" x14ac:dyDescent="0.2">
      <c r="E277" s="176">
        <v>61</v>
      </c>
      <c r="F277" s="223">
        <f t="shared" si="381"/>
        <v>0.61</v>
      </c>
      <c r="G277" s="223">
        <f t="shared" si="364"/>
        <v>0.30499999999999999</v>
      </c>
      <c r="H277" s="223">
        <f t="shared" si="365"/>
        <v>3.05</v>
      </c>
      <c r="I277" s="223">
        <f t="shared" si="366"/>
        <v>1.0065</v>
      </c>
      <c r="J277" s="559">
        <f t="shared" si="332"/>
        <v>48</v>
      </c>
      <c r="K277" s="454">
        <f t="shared" si="333"/>
        <v>15.899999999999999</v>
      </c>
      <c r="L277" s="454">
        <f t="shared" si="334"/>
        <v>63.9</v>
      </c>
      <c r="M277" s="454"/>
      <c r="N277" s="223">
        <f t="shared" si="335"/>
        <v>0.24882629107981219</v>
      </c>
      <c r="O277" s="178">
        <f t="shared" si="367"/>
        <v>6.0616329556285065</v>
      </c>
      <c r="P277" s="178">
        <f t="shared" si="368"/>
        <v>2.6604507042253513</v>
      </c>
      <c r="Q277" s="223">
        <f t="shared" si="338"/>
        <v>1.2123265911257013</v>
      </c>
      <c r="R277" s="223">
        <f t="shared" si="369"/>
        <v>1.8368584714025777</v>
      </c>
      <c r="S277" s="223">
        <f t="shared" si="370"/>
        <v>5</v>
      </c>
      <c r="T277" s="223">
        <f t="shared" si="371"/>
        <v>0.75474711740041922</v>
      </c>
      <c r="U277" s="223">
        <f t="shared" si="342"/>
        <v>0.47171694837526201</v>
      </c>
      <c r="V277" s="223">
        <f t="shared" si="343"/>
        <v>1.4240511649064513</v>
      </c>
      <c r="W277" s="203">
        <f t="shared" si="344"/>
        <v>350</v>
      </c>
      <c r="X277" s="454">
        <f t="shared" si="345"/>
        <v>350</v>
      </c>
      <c r="Z277" s="223">
        <f t="shared" si="346"/>
        <v>1.1374916163648559</v>
      </c>
      <c r="AA277" s="179">
        <f t="shared" si="347"/>
        <v>2.1462105969148224</v>
      </c>
      <c r="AB277" s="179">
        <f t="shared" si="372"/>
        <v>0.96366969510948308</v>
      </c>
      <c r="AC277" s="179"/>
      <c r="AD277" s="179">
        <f t="shared" si="349"/>
        <v>0.5660377358490567</v>
      </c>
      <c r="AE277" s="563">
        <f t="shared" si="373"/>
        <v>2394.8148148148143</v>
      </c>
      <c r="AF277" s="546">
        <f t="shared" si="374"/>
        <v>8.9150943396226423E-2</v>
      </c>
      <c r="AH277" s="179">
        <f t="shared" si="375"/>
        <v>0.87901459980290808</v>
      </c>
      <c r="AI277" s="179">
        <f t="shared" si="376"/>
        <v>0.87901459980290808</v>
      </c>
      <c r="AJ277" s="179">
        <f t="shared" si="377"/>
        <v>1.6288997035577097</v>
      </c>
      <c r="AL277" s="563">
        <f t="shared" si="378"/>
        <v>610</v>
      </c>
      <c r="AM277" s="472">
        <f t="shared" si="379"/>
        <v>350</v>
      </c>
      <c r="AO277">
        <f t="shared" si="357"/>
        <v>610</v>
      </c>
      <c r="AP277">
        <f t="shared" si="358"/>
        <v>350</v>
      </c>
      <c r="AR277" s="6">
        <f t="shared" si="382"/>
        <v>2.8571428571428572</v>
      </c>
      <c r="AS277" s="6">
        <f t="shared" si="361"/>
        <v>0.54938412487681754</v>
      </c>
      <c r="AT277" s="6">
        <f t="shared" si="362"/>
        <v>2.3077587322660396</v>
      </c>
      <c r="AU277" s="179">
        <f t="shared" si="363"/>
        <v>0.19228444370688613</v>
      </c>
      <c r="CD277" s="581">
        <f t="shared" si="380"/>
        <v>-50</v>
      </c>
    </row>
    <row r="278" spans="5:82" x14ac:dyDescent="0.2">
      <c r="E278" s="176">
        <v>62</v>
      </c>
      <c r="F278" s="223">
        <f t="shared" si="381"/>
        <v>0.62</v>
      </c>
      <c r="G278" s="223">
        <f t="shared" si="364"/>
        <v>0.31</v>
      </c>
      <c r="H278" s="223">
        <f t="shared" si="365"/>
        <v>3.1</v>
      </c>
      <c r="I278" s="223">
        <f t="shared" si="366"/>
        <v>1.0229999999999999</v>
      </c>
      <c r="J278" s="559">
        <f t="shared" si="332"/>
        <v>48</v>
      </c>
      <c r="K278" s="454">
        <f t="shared" si="333"/>
        <v>15.899999999999999</v>
      </c>
      <c r="L278" s="454">
        <f t="shared" si="334"/>
        <v>63.9</v>
      </c>
      <c r="M278" s="454"/>
      <c r="N278" s="223">
        <f t="shared" si="335"/>
        <v>0.24882629107981219</v>
      </c>
      <c r="O278" s="178">
        <f t="shared" si="367"/>
        <v>6.0616329556285065</v>
      </c>
      <c r="P278" s="178">
        <f t="shared" si="368"/>
        <v>2.6604507042253513</v>
      </c>
      <c r="Q278" s="223">
        <f t="shared" si="338"/>
        <v>1.2123265911257013</v>
      </c>
      <c r="R278" s="223">
        <f t="shared" si="369"/>
        <v>1.8368584714025777</v>
      </c>
      <c r="S278" s="223">
        <f t="shared" si="370"/>
        <v>5</v>
      </c>
      <c r="T278" s="223">
        <f t="shared" si="371"/>
        <v>0.7671200209643606</v>
      </c>
      <c r="U278" s="223">
        <f t="shared" si="342"/>
        <v>0.47945001310272539</v>
      </c>
      <c r="V278" s="223">
        <f t="shared" si="343"/>
        <v>1.4473962659704918</v>
      </c>
      <c r="W278" s="203">
        <f t="shared" si="344"/>
        <v>350</v>
      </c>
      <c r="X278" s="454">
        <f t="shared" si="345"/>
        <v>350</v>
      </c>
      <c r="Z278" s="223">
        <f t="shared" si="346"/>
        <v>1.1374916163648559</v>
      </c>
      <c r="AA278" s="179">
        <f t="shared" si="347"/>
        <v>2.1462105969148224</v>
      </c>
      <c r="AB278" s="179">
        <f t="shared" si="372"/>
        <v>0.96366969510948308</v>
      </c>
      <c r="AC278" s="179"/>
      <c r="AD278" s="179">
        <f t="shared" si="349"/>
        <v>0.5660377358490567</v>
      </c>
      <c r="AE278" s="563">
        <f t="shared" si="373"/>
        <v>2434.0740740740739</v>
      </c>
      <c r="AF278" s="546">
        <f t="shared" si="374"/>
        <v>8.9150943396226423E-2</v>
      </c>
      <c r="AH278" s="179">
        <f t="shared" si="375"/>
        <v>0.88619034825105902</v>
      </c>
      <c r="AI278" s="179">
        <f t="shared" si="376"/>
        <v>0.88619034825105902</v>
      </c>
      <c r="AJ278" s="179">
        <f t="shared" si="377"/>
        <v>1.6342150727785623</v>
      </c>
      <c r="AL278" s="563">
        <f t="shared" si="378"/>
        <v>620</v>
      </c>
      <c r="AM278" s="472">
        <f t="shared" si="379"/>
        <v>350</v>
      </c>
      <c r="AO278">
        <f t="shared" si="357"/>
        <v>620</v>
      </c>
      <c r="AP278">
        <f t="shared" si="358"/>
        <v>350</v>
      </c>
      <c r="AR278" s="6">
        <f t="shared" si="382"/>
        <v>2.8571428571428572</v>
      </c>
      <c r="AS278" s="6">
        <f t="shared" si="361"/>
        <v>0.55386896765691196</v>
      </c>
      <c r="AT278" s="6">
        <f t="shared" si="362"/>
        <v>2.3032738894859452</v>
      </c>
      <c r="AU278" s="179">
        <f t="shared" si="363"/>
        <v>0.19385413867991919</v>
      </c>
      <c r="CD278" s="581">
        <f t="shared" si="380"/>
        <v>-50</v>
      </c>
    </row>
    <row r="279" spans="5:82" x14ac:dyDescent="0.2">
      <c r="E279" s="176">
        <v>63</v>
      </c>
      <c r="F279" s="223">
        <f t="shared" si="381"/>
        <v>0.63</v>
      </c>
      <c r="G279" s="223">
        <f t="shared" si="364"/>
        <v>0.315</v>
      </c>
      <c r="H279" s="223">
        <f t="shared" si="365"/>
        <v>3.15</v>
      </c>
      <c r="I279" s="223">
        <f t="shared" si="366"/>
        <v>1.0394999999999999</v>
      </c>
      <c r="J279" s="559">
        <f t="shared" si="332"/>
        <v>48</v>
      </c>
      <c r="K279" s="454">
        <f t="shared" si="333"/>
        <v>15.899999999999999</v>
      </c>
      <c r="L279" s="454">
        <f t="shared" si="334"/>
        <v>63.9</v>
      </c>
      <c r="M279" s="454"/>
      <c r="N279" s="223">
        <f t="shared" si="335"/>
        <v>0.24882629107981219</v>
      </c>
      <c r="O279" s="178">
        <f t="shared" si="367"/>
        <v>6.0616329556285065</v>
      </c>
      <c r="P279" s="178">
        <f t="shared" si="368"/>
        <v>2.6604507042253513</v>
      </c>
      <c r="Q279" s="223">
        <f t="shared" si="338"/>
        <v>1.2123265911257013</v>
      </c>
      <c r="R279" s="223">
        <f t="shared" si="369"/>
        <v>1.8368584714025777</v>
      </c>
      <c r="S279" s="223">
        <f t="shared" si="370"/>
        <v>5</v>
      </c>
      <c r="T279" s="223">
        <f t="shared" si="371"/>
        <v>0.77949292452830188</v>
      </c>
      <c r="U279" s="223">
        <f t="shared" si="342"/>
        <v>0.4871830778301886</v>
      </c>
      <c r="V279" s="223">
        <f t="shared" si="343"/>
        <v>1.470741367034532</v>
      </c>
      <c r="W279" s="203">
        <f t="shared" si="344"/>
        <v>350</v>
      </c>
      <c r="X279" s="454">
        <f t="shared" si="345"/>
        <v>350</v>
      </c>
      <c r="Z279" s="223">
        <f t="shared" si="346"/>
        <v>1.1374916163648559</v>
      </c>
      <c r="AA279" s="179">
        <f t="shared" si="347"/>
        <v>2.1462105969148224</v>
      </c>
      <c r="AB279" s="179">
        <f t="shared" si="372"/>
        <v>0.96366969510948308</v>
      </c>
      <c r="AC279" s="179"/>
      <c r="AD279" s="179">
        <f t="shared" si="349"/>
        <v>0.5660377358490567</v>
      </c>
      <c r="AE279" s="563">
        <f t="shared" si="373"/>
        <v>2473.333333333333</v>
      </c>
      <c r="AF279" s="546">
        <f t="shared" si="374"/>
        <v>8.9150943396226423E-2</v>
      </c>
      <c r="AH279" s="179">
        <f t="shared" si="375"/>
        <v>0.89330845736509179</v>
      </c>
      <c r="AI279" s="179">
        <f t="shared" si="376"/>
        <v>0.89330845736509179</v>
      </c>
      <c r="AJ279" s="179">
        <f t="shared" si="377"/>
        <v>1.6394877461963642</v>
      </c>
      <c r="AL279" s="563">
        <f t="shared" si="378"/>
        <v>630</v>
      </c>
      <c r="AM279" s="472">
        <f t="shared" si="379"/>
        <v>350</v>
      </c>
      <c r="AO279">
        <f t="shared" si="357"/>
        <v>630</v>
      </c>
      <c r="AP279">
        <f t="shared" si="358"/>
        <v>350</v>
      </c>
      <c r="AR279" s="6">
        <f t="shared" si="382"/>
        <v>2.8571428571428572</v>
      </c>
      <c r="AS279" s="6">
        <f t="shared" si="361"/>
        <v>0.55831778585318237</v>
      </c>
      <c r="AT279" s="6">
        <f t="shared" si="362"/>
        <v>2.2988250712896749</v>
      </c>
      <c r="AU279" s="179">
        <f t="shared" si="363"/>
        <v>0.19541122504861383</v>
      </c>
      <c r="CD279" s="581">
        <f t="shared" si="380"/>
        <v>-50</v>
      </c>
    </row>
    <row r="280" spans="5:82" x14ac:dyDescent="0.2">
      <c r="E280" s="176">
        <v>64</v>
      </c>
      <c r="F280" s="223">
        <f t="shared" si="381"/>
        <v>0.64</v>
      </c>
      <c r="G280" s="223">
        <f t="shared" ref="G280:G316" si="383">IF(PLOT_TYPE=1, E280/100*Iout2, min_I*EXP(Q280*rr/100))</f>
        <v>0.32</v>
      </c>
      <c r="H280" s="223">
        <f t="shared" ref="H280:H316" si="384">F280*Vout</f>
        <v>3.2</v>
      </c>
      <c r="I280" s="223">
        <f t="shared" ref="I280:I316" si="385">Vout2*G280</f>
        <v>1.056</v>
      </c>
      <c r="J280" s="559">
        <f t="shared" ref="J280:J316" si="386">VIN_max</f>
        <v>48</v>
      </c>
      <c r="K280" s="454">
        <f t="shared" ref="K280:K316" si="387">(S280+Vfwd1)*Nps</f>
        <v>15.899999999999999</v>
      </c>
      <c r="L280" s="454">
        <f t="shared" ref="L280:L316" si="388">(Vout+Vfwd1)*Nps+J280</f>
        <v>63.9</v>
      </c>
      <c r="M280" s="454"/>
      <c r="N280" s="223">
        <f t="shared" ref="N280:N316" si="389">(Vout+Vfwd1)*Nps/((Vout+Vfwd1)*Nps+J280)</f>
        <v>0.24882629107981219</v>
      </c>
      <c r="O280" s="178">
        <f t="shared" ref="O280:O311" si="390">N280*J280*Isw_max*0.5*Efficiency*Pout/(Pout+Pout2)</f>
        <v>6.0616329556285065</v>
      </c>
      <c r="P280" s="178">
        <f t="shared" ref="P280:P316" si="391">N280*J280*Isw_max*0.5*Efficiency*(Pout2/Pout_total)</f>
        <v>2.6604507042253513</v>
      </c>
      <c r="Q280" s="223">
        <f t="shared" ref="Q280:Q316" si="392">O280/Vout</f>
        <v>1.2123265911257013</v>
      </c>
      <c r="R280" s="223">
        <f t="shared" ref="R280:R316" si="393">O280/Vout2</f>
        <v>1.8368584714025777</v>
      </c>
      <c r="S280" s="223">
        <f t="shared" ref="S280:S316" si="394">MIN(Vout,O280/F280)</f>
        <v>5</v>
      </c>
      <c r="T280" s="223">
        <f t="shared" ref="T280:T316" si="395">MIN(2*(Vout*F280+Vout2*G280)/(Efficiency*J280*N280), Isw_max)</f>
        <v>0.79186582809224326</v>
      </c>
      <c r="U280" s="223">
        <f t="shared" ref="U280:U316" si="396">L*T280/J280*1000000</f>
        <v>0.49491614255765209</v>
      </c>
      <c r="V280" s="223">
        <f t="shared" ref="V280:V316" si="397">L*T280/K280*1000000</f>
        <v>1.4940864680985724</v>
      </c>
      <c r="W280" s="203">
        <f t="shared" ref="W280:W316" si="398">IF(1/((350000*L)*(1/J280+1/K280))&gt;Isw_min, 350, 0.001/((Isw_min*L)*(1/J280+1/K280)))</f>
        <v>350</v>
      </c>
      <c r="X280" s="454">
        <f t="shared" ref="X280:X316" si="399">MIN(1/(U280+V280)*1000, 350)</f>
        <v>350</v>
      </c>
      <c r="Z280" s="223">
        <f t="shared" ref="Z280:Z316" si="400">1/((W280*1000*L)*(1/J280+1/K280))</f>
        <v>1.1374916163648559</v>
      </c>
      <c r="AA280" s="179">
        <f t="shared" ref="AA280:AA316" si="401">L*Z280/K280*1000000</f>
        <v>2.1462105969148224</v>
      </c>
      <c r="AB280" s="179">
        <f t="shared" ref="AB280:AB311" si="402">0.5*AA280*Z280*Nps*W280/1000*(Pout/(Pout+Pout2))</f>
        <v>0.96366969510948308</v>
      </c>
      <c r="AC280" s="179"/>
      <c r="AD280" s="179">
        <f t="shared" ref="AD280:AD316" si="403">L*Isw_min/K280*1000000</f>
        <v>0.5660377358490567</v>
      </c>
      <c r="AE280" s="563">
        <f t="shared" ref="AE280:AE311" si="404">MAX(10, F280/(0.5*AD280/1000000*Isw_min*Nps)/1000*Pout_total/Pout)</f>
        <v>2512.5925925925922</v>
      </c>
      <c r="AF280" s="546">
        <f t="shared" ref="AF280:AF316" si="405">0.5*AD280/1000000*Isw_min*Nps*W280*1000*(Pout/Pout_total)</f>
        <v>8.9150943396226423E-2</v>
      </c>
      <c r="AH280" s="179">
        <f t="shared" ref="AH280:AH316" si="406">SQRT((H280+I280)/(0.5*L*Fsw_DCM))</f>
        <v>0.90037029419382042</v>
      </c>
      <c r="AI280" s="179">
        <f t="shared" ref="AI280:AI311" si="407">MAX(IF(F280&gt;AB280,T280,AH280),Isw_min)</f>
        <v>0.90037029419382042</v>
      </c>
      <c r="AJ280" s="179">
        <f t="shared" ref="AJ280:AJ311" si="408">IF(F280&gt;AF280, (AI280-Isw_min)/1.08*0.8+1.2, AE280*0.2/350+1)</f>
        <v>1.644718736439867</v>
      </c>
      <c r="AL280" s="563">
        <f t="shared" ref="AL280:AL316" si="409">F280*1000</f>
        <v>640</v>
      </c>
      <c r="AM280" s="472">
        <f t="shared" ref="AM280:AM316" si="410">IF(F280&gt;AF280, X280, AE280)</f>
        <v>350</v>
      </c>
      <c r="AO280">
        <f t="shared" ref="AO280:AO316" si="411">IF(H280&gt;O280, "",AL280)</f>
        <v>640</v>
      </c>
      <c r="AP280">
        <f t="shared" ref="AP280:AP316" si="412">IF(H280&gt;O280, "",AM280)</f>
        <v>350</v>
      </c>
      <c r="AR280" s="6">
        <f t="shared" si="382"/>
        <v>2.8571428571428572</v>
      </c>
      <c r="AS280" s="6">
        <f t="shared" si="361"/>
        <v>0.56273143387113778</v>
      </c>
      <c r="AT280" s="6">
        <f t="shared" si="362"/>
        <v>2.2944114232717192</v>
      </c>
      <c r="AU280" s="179">
        <f t="shared" si="363"/>
        <v>0.19695600185489823</v>
      </c>
      <c r="CD280" s="581">
        <f t="shared" ref="CD280:CD316" si="413">IF(ABS(F280-Ioutmax_Vinmax)&lt;Iout/200, AM280, -50)</f>
        <v>-50</v>
      </c>
    </row>
    <row r="281" spans="5:82" x14ac:dyDescent="0.2">
      <c r="E281" s="176">
        <v>65</v>
      </c>
      <c r="F281" s="223">
        <f t="shared" ref="F281:F312" si="414">IF(PLOT_TYPE=1, E281/100*Iout_max, min_I*EXP(O281*rr/100))</f>
        <v>0.65</v>
      </c>
      <c r="G281" s="223">
        <f t="shared" si="383"/>
        <v>0.32500000000000001</v>
      </c>
      <c r="H281" s="223">
        <f t="shared" si="384"/>
        <v>3.25</v>
      </c>
      <c r="I281" s="223">
        <f t="shared" si="385"/>
        <v>1.0725</v>
      </c>
      <c r="J281" s="559">
        <f t="shared" si="386"/>
        <v>48</v>
      </c>
      <c r="K281" s="454">
        <f t="shared" si="387"/>
        <v>15.899999999999999</v>
      </c>
      <c r="L281" s="454">
        <f t="shared" si="388"/>
        <v>63.9</v>
      </c>
      <c r="M281" s="454"/>
      <c r="N281" s="223">
        <f t="shared" si="389"/>
        <v>0.24882629107981219</v>
      </c>
      <c r="O281" s="178">
        <f t="shared" si="390"/>
        <v>6.0616329556285065</v>
      </c>
      <c r="P281" s="178">
        <f t="shared" si="391"/>
        <v>2.6604507042253513</v>
      </c>
      <c r="Q281" s="223">
        <f t="shared" si="392"/>
        <v>1.2123265911257013</v>
      </c>
      <c r="R281" s="223">
        <f t="shared" si="393"/>
        <v>1.8368584714025777</v>
      </c>
      <c r="S281" s="223">
        <f t="shared" si="394"/>
        <v>5</v>
      </c>
      <c r="T281" s="223">
        <f t="shared" si="395"/>
        <v>0.80423873165618442</v>
      </c>
      <c r="U281" s="223">
        <f t="shared" si="396"/>
        <v>0.50264920728511531</v>
      </c>
      <c r="V281" s="223">
        <f t="shared" si="397"/>
        <v>1.5174315691626123</v>
      </c>
      <c r="W281" s="203">
        <f t="shared" si="398"/>
        <v>350</v>
      </c>
      <c r="X281" s="454">
        <f t="shared" si="399"/>
        <v>350</v>
      </c>
      <c r="Z281" s="223">
        <f t="shared" si="400"/>
        <v>1.1374916163648559</v>
      </c>
      <c r="AA281" s="179">
        <f t="shared" si="401"/>
        <v>2.1462105969148224</v>
      </c>
      <c r="AB281" s="179">
        <f t="shared" si="402"/>
        <v>0.96366969510948308</v>
      </c>
      <c r="AC281" s="179"/>
      <c r="AD281" s="179">
        <f t="shared" si="403"/>
        <v>0.5660377358490567</v>
      </c>
      <c r="AE281" s="563">
        <f t="shared" si="404"/>
        <v>2551.8518518518517</v>
      </c>
      <c r="AF281" s="546">
        <f t="shared" si="405"/>
        <v>8.9150943396226423E-2</v>
      </c>
      <c r="AH281" s="179">
        <f t="shared" si="406"/>
        <v>0.90737717258774664</v>
      </c>
      <c r="AI281" s="179">
        <f t="shared" si="407"/>
        <v>0.90737717258774664</v>
      </c>
      <c r="AJ281" s="179">
        <f t="shared" si="408"/>
        <v>1.6499090167316641</v>
      </c>
      <c r="AL281" s="563">
        <f t="shared" si="409"/>
        <v>650</v>
      </c>
      <c r="AM281" s="472">
        <f t="shared" si="410"/>
        <v>350</v>
      </c>
      <c r="AO281">
        <f t="shared" si="411"/>
        <v>650</v>
      </c>
      <c r="AP281">
        <f t="shared" si="412"/>
        <v>350</v>
      </c>
      <c r="AR281" s="6">
        <f t="shared" si="382"/>
        <v>2.8571428571428572</v>
      </c>
      <c r="AS281" s="6">
        <f t="shared" si="361"/>
        <v>0.56711073286734159</v>
      </c>
      <c r="AT281" s="6">
        <f t="shared" si="362"/>
        <v>2.2900321242755157</v>
      </c>
      <c r="AU281" s="179">
        <f t="shared" si="363"/>
        <v>0.19848875650356956</v>
      </c>
      <c r="CD281" s="581">
        <f t="shared" si="413"/>
        <v>-50</v>
      </c>
    </row>
    <row r="282" spans="5:82" x14ac:dyDescent="0.2">
      <c r="E282" s="176">
        <v>66</v>
      </c>
      <c r="F282" s="223">
        <f t="shared" si="414"/>
        <v>0.66</v>
      </c>
      <c r="G282" s="223">
        <f t="shared" si="383"/>
        <v>0.33</v>
      </c>
      <c r="H282" s="223">
        <f t="shared" si="384"/>
        <v>3.3000000000000003</v>
      </c>
      <c r="I282" s="223">
        <f t="shared" si="385"/>
        <v>1.089</v>
      </c>
      <c r="J282" s="559">
        <f t="shared" si="386"/>
        <v>48</v>
      </c>
      <c r="K282" s="454">
        <f t="shared" si="387"/>
        <v>15.899999999999999</v>
      </c>
      <c r="L282" s="454">
        <f t="shared" si="388"/>
        <v>63.9</v>
      </c>
      <c r="M282" s="454"/>
      <c r="N282" s="223">
        <f t="shared" si="389"/>
        <v>0.24882629107981219</v>
      </c>
      <c r="O282" s="178">
        <f t="shared" si="390"/>
        <v>6.0616329556285065</v>
      </c>
      <c r="P282" s="178">
        <f t="shared" si="391"/>
        <v>2.6604507042253513</v>
      </c>
      <c r="Q282" s="223">
        <f t="shared" si="392"/>
        <v>1.2123265911257013</v>
      </c>
      <c r="R282" s="223">
        <f t="shared" si="393"/>
        <v>1.8368584714025777</v>
      </c>
      <c r="S282" s="223">
        <f t="shared" si="394"/>
        <v>5</v>
      </c>
      <c r="T282" s="223">
        <f t="shared" si="395"/>
        <v>0.81661163522012581</v>
      </c>
      <c r="U282" s="223">
        <f t="shared" si="396"/>
        <v>0.51038227201257858</v>
      </c>
      <c r="V282" s="223">
        <f t="shared" si="397"/>
        <v>1.5407766702266528</v>
      </c>
      <c r="W282" s="203">
        <f t="shared" si="398"/>
        <v>350</v>
      </c>
      <c r="X282" s="454">
        <f t="shared" si="399"/>
        <v>350</v>
      </c>
      <c r="Z282" s="223">
        <f t="shared" si="400"/>
        <v>1.1374916163648559</v>
      </c>
      <c r="AA282" s="179">
        <f t="shared" si="401"/>
        <v>2.1462105969148224</v>
      </c>
      <c r="AB282" s="179">
        <f t="shared" si="402"/>
        <v>0.96366969510948308</v>
      </c>
      <c r="AC282" s="179"/>
      <c r="AD282" s="179">
        <f t="shared" si="403"/>
        <v>0.5660377358490567</v>
      </c>
      <c r="AE282" s="563">
        <f t="shared" si="404"/>
        <v>2591.1111111111104</v>
      </c>
      <c r="AF282" s="546">
        <f t="shared" si="405"/>
        <v>8.9150943396226423E-2</v>
      </c>
      <c r="AH282" s="179">
        <f t="shared" si="406"/>
        <v>0.91433035605299684</v>
      </c>
      <c r="AI282" s="179">
        <f t="shared" si="407"/>
        <v>0.91433035605299684</v>
      </c>
      <c r="AJ282" s="179">
        <f t="shared" si="408"/>
        <v>1.6550595230022198</v>
      </c>
      <c r="AL282" s="563">
        <f t="shared" si="409"/>
        <v>660</v>
      </c>
      <c r="AM282" s="472">
        <f t="shared" si="410"/>
        <v>350</v>
      </c>
      <c r="AO282">
        <f t="shared" si="411"/>
        <v>660</v>
      </c>
      <c r="AP282">
        <f t="shared" si="412"/>
        <v>350</v>
      </c>
      <c r="AR282" s="6">
        <f t="shared" si="382"/>
        <v>2.8571428571428572</v>
      </c>
      <c r="AS282" s="6">
        <f t="shared" si="361"/>
        <v>0.57145647253312304</v>
      </c>
      <c r="AT282" s="6">
        <f t="shared" si="362"/>
        <v>2.2856863846097344</v>
      </c>
      <c r="AU282" s="179">
        <f t="shared" si="363"/>
        <v>0.20000976538659307</v>
      </c>
      <c r="CD282" s="581">
        <f t="shared" si="413"/>
        <v>-50</v>
      </c>
    </row>
    <row r="283" spans="5:82" x14ac:dyDescent="0.2">
      <c r="E283" s="176">
        <v>67</v>
      </c>
      <c r="F283" s="223">
        <f t="shared" si="414"/>
        <v>0.67</v>
      </c>
      <c r="G283" s="223">
        <f t="shared" si="383"/>
        <v>0.33500000000000002</v>
      </c>
      <c r="H283" s="223">
        <f t="shared" si="384"/>
        <v>3.35</v>
      </c>
      <c r="I283" s="223">
        <f t="shared" si="385"/>
        <v>1.1054999999999999</v>
      </c>
      <c r="J283" s="559">
        <f t="shared" si="386"/>
        <v>48</v>
      </c>
      <c r="K283" s="454">
        <f t="shared" si="387"/>
        <v>15.899999999999999</v>
      </c>
      <c r="L283" s="454">
        <f t="shared" si="388"/>
        <v>63.9</v>
      </c>
      <c r="M283" s="454"/>
      <c r="N283" s="223">
        <f t="shared" si="389"/>
        <v>0.24882629107981219</v>
      </c>
      <c r="O283" s="178">
        <f t="shared" si="390"/>
        <v>6.0616329556285065</v>
      </c>
      <c r="P283" s="178">
        <f t="shared" si="391"/>
        <v>2.6604507042253513</v>
      </c>
      <c r="Q283" s="223">
        <f t="shared" si="392"/>
        <v>1.2123265911257013</v>
      </c>
      <c r="R283" s="223">
        <f t="shared" si="393"/>
        <v>1.8368584714025777</v>
      </c>
      <c r="S283" s="223">
        <f t="shared" si="394"/>
        <v>5</v>
      </c>
      <c r="T283" s="223">
        <f t="shared" si="395"/>
        <v>0.82898453878406708</v>
      </c>
      <c r="U283" s="223">
        <f t="shared" si="396"/>
        <v>0.51811533674004184</v>
      </c>
      <c r="V283" s="223">
        <f t="shared" si="397"/>
        <v>1.5641217712906927</v>
      </c>
      <c r="W283" s="203">
        <f t="shared" si="398"/>
        <v>350</v>
      </c>
      <c r="X283" s="454">
        <f t="shared" si="399"/>
        <v>350</v>
      </c>
      <c r="Z283" s="223">
        <f t="shared" si="400"/>
        <v>1.1374916163648559</v>
      </c>
      <c r="AA283" s="179">
        <f t="shared" si="401"/>
        <v>2.1462105969148224</v>
      </c>
      <c r="AB283" s="179">
        <f t="shared" si="402"/>
        <v>0.96366969510948308</v>
      </c>
      <c r="AC283" s="179"/>
      <c r="AD283" s="179">
        <f t="shared" si="403"/>
        <v>0.5660377358490567</v>
      </c>
      <c r="AE283" s="563">
        <f t="shared" si="404"/>
        <v>2630.37037037037</v>
      </c>
      <c r="AF283" s="546">
        <f t="shared" si="405"/>
        <v>8.9150943396226423E-2</v>
      </c>
      <c r="AH283" s="179">
        <f t="shared" si="406"/>
        <v>0.92123106041137515</v>
      </c>
      <c r="AI283" s="179">
        <f t="shared" si="407"/>
        <v>0.92123106041137515</v>
      </c>
      <c r="AJ283" s="179">
        <f t="shared" si="408"/>
        <v>1.6601711558602779</v>
      </c>
      <c r="AL283" s="563">
        <f t="shared" si="409"/>
        <v>670</v>
      </c>
      <c r="AM283" s="472">
        <f t="shared" si="410"/>
        <v>350</v>
      </c>
      <c r="AO283">
        <f t="shared" si="411"/>
        <v>670</v>
      </c>
      <c r="AP283">
        <f t="shared" si="412"/>
        <v>350</v>
      </c>
      <c r="AR283" s="6">
        <f t="shared" si="382"/>
        <v>2.8571428571428572</v>
      </c>
      <c r="AS283" s="6">
        <f t="shared" si="361"/>
        <v>0.57576941275710947</v>
      </c>
      <c r="AT283" s="6">
        <f t="shared" si="362"/>
        <v>2.2813734443857476</v>
      </c>
      <c r="AU283" s="179">
        <f t="shared" si="363"/>
        <v>0.20151929446498831</v>
      </c>
      <c r="CD283" s="581">
        <f t="shared" si="413"/>
        <v>-50</v>
      </c>
    </row>
    <row r="284" spans="5:82" x14ac:dyDescent="0.2">
      <c r="E284" s="176">
        <v>68</v>
      </c>
      <c r="F284" s="223">
        <f t="shared" si="414"/>
        <v>0.68</v>
      </c>
      <c r="G284" s="223">
        <f t="shared" si="383"/>
        <v>0.34</v>
      </c>
      <c r="H284" s="223">
        <f t="shared" si="384"/>
        <v>3.4000000000000004</v>
      </c>
      <c r="I284" s="223">
        <f t="shared" si="385"/>
        <v>1.1220000000000001</v>
      </c>
      <c r="J284" s="559">
        <f t="shared" si="386"/>
        <v>48</v>
      </c>
      <c r="K284" s="454">
        <f t="shared" si="387"/>
        <v>15.899999999999999</v>
      </c>
      <c r="L284" s="454">
        <f t="shared" si="388"/>
        <v>63.9</v>
      </c>
      <c r="M284" s="454"/>
      <c r="N284" s="223">
        <f t="shared" si="389"/>
        <v>0.24882629107981219</v>
      </c>
      <c r="O284" s="178">
        <f t="shared" si="390"/>
        <v>6.0616329556285065</v>
      </c>
      <c r="P284" s="178">
        <f t="shared" si="391"/>
        <v>2.6604507042253513</v>
      </c>
      <c r="Q284" s="223">
        <f t="shared" si="392"/>
        <v>1.2123265911257013</v>
      </c>
      <c r="R284" s="223">
        <f t="shared" si="393"/>
        <v>1.8368584714025777</v>
      </c>
      <c r="S284" s="223">
        <f t="shared" si="394"/>
        <v>5</v>
      </c>
      <c r="T284" s="223">
        <f t="shared" si="395"/>
        <v>0.84135744234800847</v>
      </c>
      <c r="U284" s="223">
        <f t="shared" si="396"/>
        <v>0.52584840146750533</v>
      </c>
      <c r="V284" s="223">
        <f t="shared" si="397"/>
        <v>1.5874668723547334</v>
      </c>
      <c r="W284" s="203">
        <f t="shared" si="398"/>
        <v>350</v>
      </c>
      <c r="X284" s="454">
        <f t="shared" si="399"/>
        <v>350</v>
      </c>
      <c r="Z284" s="223">
        <f t="shared" si="400"/>
        <v>1.1374916163648559</v>
      </c>
      <c r="AA284" s="179">
        <f t="shared" si="401"/>
        <v>2.1462105969148224</v>
      </c>
      <c r="AB284" s="179">
        <f t="shared" si="402"/>
        <v>0.96366969510948308</v>
      </c>
      <c r="AC284" s="179"/>
      <c r="AD284" s="179">
        <f t="shared" si="403"/>
        <v>0.5660377358490567</v>
      </c>
      <c r="AE284" s="563">
        <f t="shared" si="404"/>
        <v>2669.6296296296291</v>
      </c>
      <c r="AF284" s="546">
        <f t="shared" si="405"/>
        <v>8.9150943396226423E-2</v>
      </c>
      <c r="AH284" s="179">
        <f t="shared" si="406"/>
        <v>0.92808045628239222</v>
      </c>
      <c r="AI284" s="179">
        <f t="shared" si="407"/>
        <v>0.92808045628239222</v>
      </c>
      <c r="AJ284" s="179">
        <f t="shared" si="408"/>
        <v>1.6652447824314016</v>
      </c>
      <c r="AL284" s="563">
        <f t="shared" si="409"/>
        <v>680</v>
      </c>
      <c r="AM284" s="472">
        <f t="shared" si="410"/>
        <v>350</v>
      </c>
      <c r="AO284">
        <f t="shared" si="411"/>
        <v>680</v>
      </c>
      <c r="AP284">
        <f t="shared" si="412"/>
        <v>350</v>
      </c>
      <c r="AR284" s="6">
        <f t="shared" si="382"/>
        <v>2.8571428571428572</v>
      </c>
      <c r="AS284" s="6">
        <f t="shared" si="361"/>
        <v>0.58005028517649515</v>
      </c>
      <c r="AT284" s="6">
        <f t="shared" si="362"/>
        <v>2.2770925719663619</v>
      </c>
      <c r="AU284" s="179">
        <f t="shared" si="363"/>
        <v>0.20301759981177331</v>
      </c>
      <c r="CD284" s="581">
        <f t="shared" si="413"/>
        <v>-50</v>
      </c>
    </row>
    <row r="285" spans="5:82" x14ac:dyDescent="0.2">
      <c r="E285" s="176">
        <v>69</v>
      </c>
      <c r="F285" s="223">
        <f t="shared" si="414"/>
        <v>0.69</v>
      </c>
      <c r="G285" s="223">
        <f t="shared" si="383"/>
        <v>0.34499999999999997</v>
      </c>
      <c r="H285" s="223">
        <f t="shared" si="384"/>
        <v>3.4499999999999997</v>
      </c>
      <c r="I285" s="223">
        <f t="shared" si="385"/>
        <v>1.1384999999999998</v>
      </c>
      <c r="J285" s="559">
        <f t="shared" si="386"/>
        <v>48</v>
      </c>
      <c r="K285" s="454">
        <f t="shared" si="387"/>
        <v>15.899999999999999</v>
      </c>
      <c r="L285" s="454">
        <f t="shared" si="388"/>
        <v>63.9</v>
      </c>
      <c r="M285" s="454"/>
      <c r="N285" s="223">
        <f t="shared" si="389"/>
        <v>0.24882629107981219</v>
      </c>
      <c r="O285" s="178">
        <f t="shared" si="390"/>
        <v>6.0616329556285065</v>
      </c>
      <c r="P285" s="178">
        <f t="shared" si="391"/>
        <v>2.6604507042253513</v>
      </c>
      <c r="Q285" s="223">
        <f t="shared" si="392"/>
        <v>1.2123265911257013</v>
      </c>
      <c r="R285" s="223">
        <f t="shared" si="393"/>
        <v>1.8368584714025777</v>
      </c>
      <c r="S285" s="223">
        <f t="shared" si="394"/>
        <v>5</v>
      </c>
      <c r="T285" s="223">
        <f t="shared" si="395"/>
        <v>0.85373034591194963</v>
      </c>
      <c r="U285" s="223">
        <f t="shared" si="396"/>
        <v>0.53358146619496849</v>
      </c>
      <c r="V285" s="223">
        <f t="shared" si="397"/>
        <v>1.6108119734187731</v>
      </c>
      <c r="W285" s="203">
        <f t="shared" si="398"/>
        <v>350</v>
      </c>
      <c r="X285" s="454">
        <f t="shared" si="399"/>
        <v>350</v>
      </c>
      <c r="Z285" s="223">
        <f t="shared" si="400"/>
        <v>1.1374916163648559</v>
      </c>
      <c r="AA285" s="179">
        <f t="shared" si="401"/>
        <v>2.1462105969148224</v>
      </c>
      <c r="AB285" s="179">
        <f t="shared" si="402"/>
        <v>0.96366969510948308</v>
      </c>
      <c r="AC285" s="179"/>
      <c r="AD285" s="179">
        <f t="shared" si="403"/>
        <v>0.5660377358490567</v>
      </c>
      <c r="AE285" s="563">
        <f t="shared" si="404"/>
        <v>2708.8888888888882</v>
      </c>
      <c r="AF285" s="546">
        <f t="shared" si="405"/>
        <v>8.9150943396226423E-2</v>
      </c>
      <c r="AH285" s="179">
        <f t="shared" si="406"/>
        <v>0.93487967140161943</v>
      </c>
      <c r="AI285" s="179">
        <f t="shared" si="407"/>
        <v>0.93487967140161943</v>
      </c>
      <c r="AJ285" s="179">
        <f t="shared" si="408"/>
        <v>1.6702812380752736</v>
      </c>
      <c r="AL285" s="563">
        <f t="shared" si="409"/>
        <v>690</v>
      </c>
      <c r="AM285" s="472">
        <f t="shared" si="410"/>
        <v>350</v>
      </c>
      <c r="AO285">
        <f t="shared" si="411"/>
        <v>690</v>
      </c>
      <c r="AP285">
        <f t="shared" si="412"/>
        <v>350</v>
      </c>
      <c r="AR285" s="6">
        <f t="shared" si="382"/>
        <v>2.8571428571428572</v>
      </c>
      <c r="AS285" s="6">
        <f t="shared" si="361"/>
        <v>0.58429979462601211</v>
      </c>
      <c r="AT285" s="6">
        <f t="shared" si="362"/>
        <v>2.272843062516845</v>
      </c>
      <c r="AU285" s="179">
        <f t="shared" si="363"/>
        <v>0.20450492811910423</v>
      </c>
      <c r="CD285" s="581">
        <f t="shared" si="413"/>
        <v>-50</v>
      </c>
    </row>
    <row r="286" spans="5:82" x14ac:dyDescent="0.2">
      <c r="E286" s="176">
        <v>70</v>
      </c>
      <c r="F286" s="223">
        <f t="shared" si="414"/>
        <v>0.7</v>
      </c>
      <c r="G286" s="223">
        <f t="shared" si="383"/>
        <v>0.35</v>
      </c>
      <c r="H286" s="223">
        <f t="shared" si="384"/>
        <v>3.5</v>
      </c>
      <c r="I286" s="223">
        <f t="shared" si="385"/>
        <v>1.1549999999999998</v>
      </c>
      <c r="J286" s="559">
        <f t="shared" si="386"/>
        <v>48</v>
      </c>
      <c r="K286" s="454">
        <f t="shared" si="387"/>
        <v>15.899999999999999</v>
      </c>
      <c r="L286" s="454">
        <f t="shared" si="388"/>
        <v>63.9</v>
      </c>
      <c r="M286" s="454"/>
      <c r="N286" s="223">
        <f t="shared" si="389"/>
        <v>0.24882629107981219</v>
      </c>
      <c r="O286" s="178">
        <f t="shared" si="390"/>
        <v>6.0616329556285065</v>
      </c>
      <c r="P286" s="178">
        <f t="shared" si="391"/>
        <v>2.6604507042253513</v>
      </c>
      <c r="Q286" s="223">
        <f t="shared" si="392"/>
        <v>1.2123265911257013</v>
      </c>
      <c r="R286" s="223">
        <f t="shared" si="393"/>
        <v>1.8368584714025777</v>
      </c>
      <c r="S286" s="223">
        <f t="shared" si="394"/>
        <v>5</v>
      </c>
      <c r="T286" s="223">
        <f t="shared" si="395"/>
        <v>0.8661032494758909</v>
      </c>
      <c r="U286" s="223">
        <f t="shared" si="396"/>
        <v>0.54131453092243187</v>
      </c>
      <c r="V286" s="223">
        <f t="shared" si="397"/>
        <v>1.6341570744828133</v>
      </c>
      <c r="W286" s="203">
        <f t="shared" si="398"/>
        <v>350</v>
      </c>
      <c r="X286" s="454">
        <f t="shared" si="399"/>
        <v>350</v>
      </c>
      <c r="Z286" s="223">
        <f t="shared" si="400"/>
        <v>1.1374916163648559</v>
      </c>
      <c r="AA286" s="179">
        <f t="shared" si="401"/>
        <v>2.1462105969148224</v>
      </c>
      <c r="AB286" s="179">
        <f t="shared" si="402"/>
        <v>0.96366969510948308</v>
      </c>
      <c r="AC286" s="179"/>
      <c r="AD286" s="179">
        <f t="shared" si="403"/>
        <v>0.5660377358490567</v>
      </c>
      <c r="AE286" s="563">
        <f t="shared" si="404"/>
        <v>2748.1481481481474</v>
      </c>
      <c r="AF286" s="546">
        <f t="shared" si="405"/>
        <v>8.9150943396226423E-2</v>
      </c>
      <c r="AH286" s="179">
        <f t="shared" si="406"/>
        <v>0.94162979278836889</v>
      </c>
      <c r="AI286" s="179">
        <f t="shared" si="407"/>
        <v>0.94162979278836889</v>
      </c>
      <c r="AJ286" s="179">
        <f t="shared" si="408"/>
        <v>1.6752813279913843</v>
      </c>
      <c r="AL286" s="563">
        <f t="shared" si="409"/>
        <v>700</v>
      </c>
      <c r="AM286" s="472">
        <f t="shared" si="410"/>
        <v>350</v>
      </c>
      <c r="AO286">
        <f t="shared" si="411"/>
        <v>700</v>
      </c>
      <c r="AP286">
        <f t="shared" si="412"/>
        <v>350</v>
      </c>
      <c r="AR286" s="6">
        <f t="shared" si="382"/>
        <v>2.8571428571428572</v>
      </c>
      <c r="AS286" s="6">
        <f t="shared" si="361"/>
        <v>0.58851862049273052</v>
      </c>
      <c r="AT286" s="6">
        <f t="shared" si="362"/>
        <v>2.2686242366501266</v>
      </c>
      <c r="AU286" s="179">
        <f t="shared" si="363"/>
        <v>0.20598151717245566</v>
      </c>
      <c r="CD286" s="581">
        <f t="shared" si="413"/>
        <v>-50</v>
      </c>
    </row>
    <row r="287" spans="5:82" x14ac:dyDescent="0.2">
      <c r="E287" s="176">
        <v>71</v>
      </c>
      <c r="F287" s="223">
        <f t="shared" si="414"/>
        <v>0.71</v>
      </c>
      <c r="G287" s="223">
        <f t="shared" si="383"/>
        <v>0.35499999999999998</v>
      </c>
      <c r="H287" s="223">
        <f t="shared" si="384"/>
        <v>3.55</v>
      </c>
      <c r="I287" s="223">
        <f t="shared" si="385"/>
        <v>1.1715</v>
      </c>
      <c r="J287" s="559">
        <f t="shared" si="386"/>
        <v>48</v>
      </c>
      <c r="K287" s="454">
        <f t="shared" si="387"/>
        <v>15.899999999999999</v>
      </c>
      <c r="L287" s="454">
        <f t="shared" si="388"/>
        <v>63.9</v>
      </c>
      <c r="M287" s="454"/>
      <c r="N287" s="223">
        <f t="shared" si="389"/>
        <v>0.24882629107981219</v>
      </c>
      <c r="O287" s="178">
        <f t="shared" si="390"/>
        <v>6.0616329556285065</v>
      </c>
      <c r="P287" s="178">
        <f t="shared" si="391"/>
        <v>2.6604507042253513</v>
      </c>
      <c r="Q287" s="223">
        <f t="shared" si="392"/>
        <v>1.2123265911257013</v>
      </c>
      <c r="R287" s="223">
        <f t="shared" si="393"/>
        <v>1.8368584714025777</v>
      </c>
      <c r="S287" s="223">
        <f t="shared" si="394"/>
        <v>5</v>
      </c>
      <c r="T287" s="223">
        <f t="shared" si="395"/>
        <v>0.87847615303983229</v>
      </c>
      <c r="U287" s="223">
        <f t="shared" si="396"/>
        <v>0.54904759564989514</v>
      </c>
      <c r="V287" s="223">
        <f t="shared" si="397"/>
        <v>1.6575021755468535</v>
      </c>
      <c r="W287" s="203">
        <f t="shared" si="398"/>
        <v>350</v>
      </c>
      <c r="X287" s="454">
        <f t="shared" si="399"/>
        <v>350</v>
      </c>
      <c r="Z287" s="223">
        <f t="shared" si="400"/>
        <v>1.1374916163648559</v>
      </c>
      <c r="AA287" s="179">
        <f t="shared" si="401"/>
        <v>2.1462105969148224</v>
      </c>
      <c r="AB287" s="179">
        <f t="shared" si="402"/>
        <v>0.96366969510948308</v>
      </c>
      <c r="AC287" s="179"/>
      <c r="AD287" s="179">
        <f t="shared" si="403"/>
        <v>0.5660377358490567</v>
      </c>
      <c r="AE287" s="563">
        <f t="shared" si="404"/>
        <v>2787.4074074074069</v>
      </c>
      <c r="AF287" s="546">
        <f t="shared" si="405"/>
        <v>8.9150943396226423E-2</v>
      </c>
      <c r="AH287" s="179">
        <f t="shared" si="406"/>
        <v>0.94833186877449882</v>
      </c>
      <c r="AI287" s="179">
        <f t="shared" si="407"/>
        <v>0.94833186877449882</v>
      </c>
      <c r="AJ287" s="179">
        <f t="shared" si="408"/>
        <v>1.6802458287218509</v>
      </c>
      <c r="AL287" s="563">
        <f t="shared" si="409"/>
        <v>710</v>
      </c>
      <c r="AM287" s="472">
        <f t="shared" si="410"/>
        <v>350</v>
      </c>
      <c r="AO287">
        <f t="shared" si="411"/>
        <v>710</v>
      </c>
      <c r="AP287">
        <f t="shared" si="412"/>
        <v>350</v>
      </c>
      <c r="AR287" s="6">
        <f t="shared" si="382"/>
        <v>2.8571428571428572</v>
      </c>
      <c r="AS287" s="6">
        <f t="shared" si="361"/>
        <v>0.59270741798406179</v>
      </c>
      <c r="AT287" s="6">
        <f t="shared" si="362"/>
        <v>2.2644354391587953</v>
      </c>
      <c r="AU287" s="179">
        <f t="shared" si="363"/>
        <v>0.20744759629442161</v>
      </c>
      <c r="CD287" s="581">
        <f t="shared" si="413"/>
        <v>-50</v>
      </c>
    </row>
    <row r="288" spans="5:82" x14ac:dyDescent="0.2">
      <c r="E288" s="176">
        <v>72</v>
      </c>
      <c r="F288" s="223">
        <f t="shared" si="414"/>
        <v>0.72</v>
      </c>
      <c r="G288" s="223">
        <f t="shared" si="383"/>
        <v>0.36</v>
      </c>
      <c r="H288" s="223">
        <f t="shared" si="384"/>
        <v>3.5999999999999996</v>
      </c>
      <c r="I288" s="223">
        <f t="shared" si="385"/>
        <v>1.1879999999999999</v>
      </c>
      <c r="J288" s="559">
        <f t="shared" si="386"/>
        <v>48</v>
      </c>
      <c r="K288" s="454">
        <f t="shared" si="387"/>
        <v>15.899999999999999</v>
      </c>
      <c r="L288" s="454">
        <f t="shared" si="388"/>
        <v>63.9</v>
      </c>
      <c r="M288" s="454"/>
      <c r="N288" s="223">
        <f t="shared" si="389"/>
        <v>0.24882629107981219</v>
      </c>
      <c r="O288" s="178">
        <f t="shared" si="390"/>
        <v>6.0616329556285065</v>
      </c>
      <c r="P288" s="178">
        <f t="shared" si="391"/>
        <v>2.6604507042253513</v>
      </c>
      <c r="Q288" s="223">
        <f t="shared" si="392"/>
        <v>1.2123265911257013</v>
      </c>
      <c r="R288" s="223">
        <f t="shared" si="393"/>
        <v>1.8368584714025777</v>
      </c>
      <c r="S288" s="223">
        <f t="shared" si="394"/>
        <v>5</v>
      </c>
      <c r="T288" s="223">
        <f t="shared" si="395"/>
        <v>0.89084905660377345</v>
      </c>
      <c r="U288" s="223">
        <f t="shared" si="396"/>
        <v>0.55678066037735841</v>
      </c>
      <c r="V288" s="223">
        <f t="shared" si="397"/>
        <v>1.6808472766108935</v>
      </c>
      <c r="W288" s="203">
        <f t="shared" si="398"/>
        <v>350</v>
      </c>
      <c r="X288" s="454">
        <f t="shared" si="399"/>
        <v>350</v>
      </c>
      <c r="Z288" s="223">
        <f t="shared" si="400"/>
        <v>1.1374916163648559</v>
      </c>
      <c r="AA288" s="179">
        <f t="shared" si="401"/>
        <v>2.1462105969148224</v>
      </c>
      <c r="AB288" s="179">
        <f t="shared" si="402"/>
        <v>0.96366969510948308</v>
      </c>
      <c r="AC288" s="179"/>
      <c r="AD288" s="179">
        <f t="shared" si="403"/>
        <v>0.5660377358490567</v>
      </c>
      <c r="AE288" s="563">
        <f t="shared" si="404"/>
        <v>2826.6666666666661</v>
      </c>
      <c r="AF288" s="546">
        <f t="shared" si="405"/>
        <v>8.9150943396226423E-2</v>
      </c>
      <c r="AH288" s="179">
        <f t="shared" si="406"/>
        <v>0.95498691090506571</v>
      </c>
      <c r="AI288" s="179">
        <f t="shared" si="407"/>
        <v>0.95498691090506571</v>
      </c>
      <c r="AJ288" s="179">
        <f t="shared" si="408"/>
        <v>1.6851754895593078</v>
      </c>
      <c r="AL288" s="563">
        <f t="shared" si="409"/>
        <v>720</v>
      </c>
      <c r="AM288" s="472">
        <f t="shared" si="410"/>
        <v>350</v>
      </c>
      <c r="AO288">
        <f t="shared" si="411"/>
        <v>720</v>
      </c>
      <c r="AP288">
        <f t="shared" si="412"/>
        <v>350</v>
      </c>
      <c r="AR288" s="6">
        <f t="shared" si="382"/>
        <v>2.8571428571428572</v>
      </c>
      <c r="AS288" s="6">
        <f t="shared" si="361"/>
        <v>0.5968668193156661</v>
      </c>
      <c r="AT288" s="6">
        <f t="shared" si="362"/>
        <v>2.2602760378271913</v>
      </c>
      <c r="AU288" s="179">
        <f t="shared" si="363"/>
        <v>0.20890338676048312</v>
      </c>
      <c r="CD288" s="581">
        <f t="shared" si="413"/>
        <v>-50</v>
      </c>
    </row>
    <row r="289" spans="5:82" x14ac:dyDescent="0.2">
      <c r="E289" s="176">
        <v>73</v>
      </c>
      <c r="F289" s="223">
        <f t="shared" si="414"/>
        <v>0.73</v>
      </c>
      <c r="G289" s="223">
        <f t="shared" si="383"/>
        <v>0.36499999999999999</v>
      </c>
      <c r="H289" s="223">
        <f t="shared" si="384"/>
        <v>3.65</v>
      </c>
      <c r="I289" s="223">
        <f t="shared" si="385"/>
        <v>1.2044999999999999</v>
      </c>
      <c r="J289" s="559">
        <f t="shared" si="386"/>
        <v>48</v>
      </c>
      <c r="K289" s="454">
        <f t="shared" si="387"/>
        <v>15.899999999999999</v>
      </c>
      <c r="L289" s="454">
        <f t="shared" si="388"/>
        <v>63.9</v>
      </c>
      <c r="M289" s="454"/>
      <c r="N289" s="223">
        <f t="shared" si="389"/>
        <v>0.24882629107981219</v>
      </c>
      <c r="O289" s="178">
        <f t="shared" si="390"/>
        <v>6.0616329556285065</v>
      </c>
      <c r="P289" s="178">
        <f t="shared" si="391"/>
        <v>2.6604507042253513</v>
      </c>
      <c r="Q289" s="223">
        <f t="shared" si="392"/>
        <v>1.2123265911257013</v>
      </c>
      <c r="R289" s="223">
        <f t="shared" si="393"/>
        <v>1.8368584714025777</v>
      </c>
      <c r="S289" s="223">
        <f t="shared" si="394"/>
        <v>5</v>
      </c>
      <c r="T289" s="223">
        <f t="shared" si="395"/>
        <v>0.90322196016771483</v>
      </c>
      <c r="U289" s="223">
        <f t="shared" si="396"/>
        <v>0.56451372510482178</v>
      </c>
      <c r="V289" s="223">
        <f t="shared" si="397"/>
        <v>1.7041923776749337</v>
      </c>
      <c r="W289" s="203">
        <f t="shared" si="398"/>
        <v>350</v>
      </c>
      <c r="X289" s="454">
        <f t="shared" si="399"/>
        <v>350</v>
      </c>
      <c r="Z289" s="223">
        <f t="shared" si="400"/>
        <v>1.1374916163648559</v>
      </c>
      <c r="AA289" s="179">
        <f t="shared" si="401"/>
        <v>2.1462105969148224</v>
      </c>
      <c r="AB289" s="179">
        <f t="shared" si="402"/>
        <v>0.96366969510948308</v>
      </c>
      <c r="AC289" s="179"/>
      <c r="AD289" s="179">
        <f t="shared" si="403"/>
        <v>0.5660377358490567</v>
      </c>
      <c r="AE289" s="563">
        <f t="shared" si="404"/>
        <v>2865.9259259259252</v>
      </c>
      <c r="AF289" s="546">
        <f t="shared" si="405"/>
        <v>8.9150943396226423E-2</v>
      </c>
      <c r="AH289" s="179">
        <f t="shared" si="406"/>
        <v>0.96159589572058113</v>
      </c>
      <c r="AI289" s="179">
        <f t="shared" si="407"/>
        <v>0.96159589572058113</v>
      </c>
      <c r="AJ289" s="179">
        <f t="shared" si="408"/>
        <v>1.6900710338670972</v>
      </c>
      <c r="AL289" s="563">
        <f t="shared" si="409"/>
        <v>730</v>
      </c>
      <c r="AM289" s="472">
        <f t="shared" si="410"/>
        <v>350</v>
      </c>
      <c r="AO289">
        <f t="shared" si="411"/>
        <v>730</v>
      </c>
      <c r="AP289">
        <f t="shared" si="412"/>
        <v>350</v>
      </c>
      <c r="AR289" s="6">
        <f t="shared" si="382"/>
        <v>2.8571428571428572</v>
      </c>
      <c r="AS289" s="6">
        <f t="shared" si="361"/>
        <v>0.60099743482536327</v>
      </c>
      <c r="AT289" s="6">
        <f t="shared" si="362"/>
        <v>2.2561454223174939</v>
      </c>
      <c r="AU289" s="179">
        <f t="shared" si="363"/>
        <v>0.21034910218887715</v>
      </c>
      <c r="CD289" s="581">
        <f t="shared" si="413"/>
        <v>-50</v>
      </c>
    </row>
    <row r="290" spans="5:82" x14ac:dyDescent="0.2">
      <c r="E290" s="176">
        <v>74</v>
      </c>
      <c r="F290" s="223">
        <f t="shared" si="414"/>
        <v>0.74</v>
      </c>
      <c r="G290" s="223">
        <f t="shared" si="383"/>
        <v>0.37</v>
      </c>
      <c r="H290" s="223">
        <f t="shared" si="384"/>
        <v>3.7</v>
      </c>
      <c r="I290" s="223">
        <f t="shared" si="385"/>
        <v>1.2209999999999999</v>
      </c>
      <c r="J290" s="559">
        <f t="shared" si="386"/>
        <v>48</v>
      </c>
      <c r="K290" s="454">
        <f t="shared" si="387"/>
        <v>15.899999999999999</v>
      </c>
      <c r="L290" s="454">
        <f t="shared" si="388"/>
        <v>63.9</v>
      </c>
      <c r="M290" s="454"/>
      <c r="N290" s="223">
        <f t="shared" si="389"/>
        <v>0.24882629107981219</v>
      </c>
      <c r="O290" s="178">
        <f t="shared" si="390"/>
        <v>6.0616329556285065</v>
      </c>
      <c r="P290" s="178">
        <f t="shared" si="391"/>
        <v>2.6604507042253513</v>
      </c>
      <c r="Q290" s="223">
        <f t="shared" si="392"/>
        <v>1.2123265911257013</v>
      </c>
      <c r="R290" s="223">
        <f t="shared" si="393"/>
        <v>1.8368584714025777</v>
      </c>
      <c r="S290" s="223">
        <f t="shared" si="394"/>
        <v>5</v>
      </c>
      <c r="T290" s="223">
        <f t="shared" si="395"/>
        <v>0.91559486373165622</v>
      </c>
      <c r="U290" s="223">
        <f t="shared" si="396"/>
        <v>0.57224678983228516</v>
      </c>
      <c r="V290" s="223">
        <f t="shared" si="397"/>
        <v>1.7275374787389741</v>
      </c>
      <c r="W290" s="203">
        <f t="shared" si="398"/>
        <v>350</v>
      </c>
      <c r="X290" s="454">
        <f t="shared" si="399"/>
        <v>350</v>
      </c>
      <c r="Z290" s="223">
        <f t="shared" si="400"/>
        <v>1.1374916163648559</v>
      </c>
      <c r="AA290" s="179">
        <f t="shared" si="401"/>
        <v>2.1462105969148224</v>
      </c>
      <c r="AB290" s="179">
        <f t="shared" si="402"/>
        <v>0.96366969510948308</v>
      </c>
      <c r="AC290" s="179"/>
      <c r="AD290" s="179">
        <f t="shared" si="403"/>
        <v>0.5660377358490567</v>
      </c>
      <c r="AE290" s="563">
        <f t="shared" si="404"/>
        <v>2905.1851851851848</v>
      </c>
      <c r="AF290" s="546">
        <f t="shared" si="405"/>
        <v>8.9150943396226423E-2</v>
      </c>
      <c r="AH290" s="179">
        <f t="shared" si="406"/>
        <v>0.96815976642976309</v>
      </c>
      <c r="AI290" s="179">
        <f t="shared" si="407"/>
        <v>0.96815976642976309</v>
      </c>
      <c r="AJ290" s="179">
        <f t="shared" si="408"/>
        <v>1.6949331603183431</v>
      </c>
      <c r="AL290" s="563">
        <f t="shared" si="409"/>
        <v>740</v>
      </c>
      <c r="AM290" s="472">
        <f t="shared" si="410"/>
        <v>350</v>
      </c>
      <c r="AO290">
        <f t="shared" si="411"/>
        <v>740</v>
      </c>
      <c r="AP290">
        <f t="shared" si="412"/>
        <v>350</v>
      </c>
      <c r="AR290" s="6">
        <f t="shared" si="382"/>
        <v>2.8571428571428572</v>
      </c>
      <c r="AS290" s="6">
        <f t="shared" si="361"/>
        <v>0.60509985401860189</v>
      </c>
      <c r="AT290" s="6">
        <f t="shared" si="362"/>
        <v>2.2520430031242551</v>
      </c>
      <c r="AU290" s="179">
        <f t="shared" si="363"/>
        <v>0.21178494890651064</v>
      </c>
      <c r="CD290" s="581">
        <f t="shared" si="413"/>
        <v>-50</v>
      </c>
    </row>
    <row r="291" spans="5:82" x14ac:dyDescent="0.2">
      <c r="E291" s="176">
        <v>75</v>
      </c>
      <c r="F291" s="223">
        <f t="shared" si="414"/>
        <v>0.75</v>
      </c>
      <c r="G291" s="223">
        <f t="shared" si="383"/>
        <v>0.375</v>
      </c>
      <c r="H291" s="223">
        <f t="shared" si="384"/>
        <v>3.75</v>
      </c>
      <c r="I291" s="223">
        <f t="shared" si="385"/>
        <v>1.2374999999999998</v>
      </c>
      <c r="J291" s="559">
        <f t="shared" si="386"/>
        <v>48</v>
      </c>
      <c r="K291" s="454">
        <f t="shared" si="387"/>
        <v>15.899999999999999</v>
      </c>
      <c r="L291" s="454">
        <f t="shared" si="388"/>
        <v>63.9</v>
      </c>
      <c r="M291" s="454"/>
      <c r="N291" s="223">
        <f t="shared" si="389"/>
        <v>0.24882629107981219</v>
      </c>
      <c r="O291" s="178">
        <f t="shared" si="390"/>
        <v>6.0616329556285065</v>
      </c>
      <c r="P291" s="178">
        <f t="shared" si="391"/>
        <v>2.6604507042253513</v>
      </c>
      <c r="Q291" s="223">
        <f t="shared" si="392"/>
        <v>1.2123265911257013</v>
      </c>
      <c r="R291" s="223">
        <f t="shared" si="393"/>
        <v>1.8368584714025777</v>
      </c>
      <c r="S291" s="223">
        <f t="shared" si="394"/>
        <v>5</v>
      </c>
      <c r="T291" s="223">
        <f t="shared" si="395"/>
        <v>0.92796776729559749</v>
      </c>
      <c r="U291" s="223">
        <f t="shared" si="396"/>
        <v>0.57997985455974843</v>
      </c>
      <c r="V291" s="223">
        <f t="shared" si="397"/>
        <v>1.7508825798030143</v>
      </c>
      <c r="W291" s="203">
        <f t="shared" si="398"/>
        <v>350</v>
      </c>
      <c r="X291" s="454">
        <f t="shared" si="399"/>
        <v>350</v>
      </c>
      <c r="Z291" s="223">
        <f t="shared" si="400"/>
        <v>1.1374916163648559</v>
      </c>
      <c r="AA291" s="179">
        <f t="shared" si="401"/>
        <v>2.1462105969148224</v>
      </c>
      <c r="AB291" s="179">
        <f t="shared" si="402"/>
        <v>0.96366969510948308</v>
      </c>
      <c r="AC291" s="179"/>
      <c r="AD291" s="179">
        <f t="shared" si="403"/>
        <v>0.5660377358490567</v>
      </c>
      <c r="AE291" s="563">
        <f t="shared" si="404"/>
        <v>2944.4444444444439</v>
      </c>
      <c r="AF291" s="546">
        <f t="shared" si="405"/>
        <v>8.9150943396226423E-2</v>
      </c>
      <c r="AH291" s="179">
        <f t="shared" si="406"/>
        <v>0.97467943448089633</v>
      </c>
      <c r="AI291" s="179">
        <f t="shared" si="407"/>
        <v>0.97467943448089633</v>
      </c>
      <c r="AJ291" s="179">
        <f t="shared" si="408"/>
        <v>1.6997625440599231</v>
      </c>
      <c r="AL291" s="563">
        <f t="shared" si="409"/>
        <v>750</v>
      </c>
      <c r="AM291" s="472">
        <f t="shared" si="410"/>
        <v>350</v>
      </c>
      <c r="AO291">
        <f t="shared" si="411"/>
        <v>750</v>
      </c>
      <c r="AP291">
        <f t="shared" si="412"/>
        <v>350</v>
      </c>
      <c r="AR291" s="6">
        <f t="shared" si="382"/>
        <v>2.8571428571428572</v>
      </c>
      <c r="AS291" s="6">
        <f t="shared" si="361"/>
        <v>0.60917464655056031</v>
      </c>
      <c r="AT291" s="6">
        <f t="shared" si="362"/>
        <v>2.2479682105922967</v>
      </c>
      <c r="AU291" s="179">
        <f t="shared" si="363"/>
        <v>0.21321112629269609</v>
      </c>
      <c r="CD291" s="581">
        <f t="shared" si="413"/>
        <v>-50</v>
      </c>
    </row>
    <row r="292" spans="5:82" x14ac:dyDescent="0.2">
      <c r="E292" s="176">
        <v>76</v>
      </c>
      <c r="F292" s="223">
        <f t="shared" si="414"/>
        <v>0.76</v>
      </c>
      <c r="G292" s="223">
        <f t="shared" si="383"/>
        <v>0.38</v>
      </c>
      <c r="H292" s="223">
        <f t="shared" si="384"/>
        <v>3.8</v>
      </c>
      <c r="I292" s="223">
        <f t="shared" si="385"/>
        <v>1.254</v>
      </c>
      <c r="J292" s="559">
        <f t="shared" si="386"/>
        <v>48</v>
      </c>
      <c r="K292" s="454">
        <f t="shared" si="387"/>
        <v>15.899999999999999</v>
      </c>
      <c r="L292" s="454">
        <f t="shared" si="388"/>
        <v>63.9</v>
      </c>
      <c r="M292" s="454"/>
      <c r="N292" s="223">
        <f t="shared" si="389"/>
        <v>0.24882629107981219</v>
      </c>
      <c r="O292" s="178">
        <f t="shared" si="390"/>
        <v>6.0616329556285065</v>
      </c>
      <c r="P292" s="178">
        <f t="shared" si="391"/>
        <v>2.6604507042253513</v>
      </c>
      <c r="Q292" s="223">
        <f t="shared" si="392"/>
        <v>1.2123265911257013</v>
      </c>
      <c r="R292" s="223">
        <f t="shared" si="393"/>
        <v>1.8368584714025777</v>
      </c>
      <c r="S292" s="223">
        <f t="shared" si="394"/>
        <v>5</v>
      </c>
      <c r="T292" s="223">
        <f t="shared" si="395"/>
        <v>0.94034067085953887</v>
      </c>
      <c r="U292" s="223">
        <f t="shared" si="396"/>
        <v>0.58771291928721181</v>
      </c>
      <c r="V292" s="223">
        <f t="shared" si="397"/>
        <v>1.7742276808670545</v>
      </c>
      <c r="W292" s="203">
        <f t="shared" si="398"/>
        <v>350</v>
      </c>
      <c r="X292" s="454">
        <f t="shared" si="399"/>
        <v>350</v>
      </c>
      <c r="Z292" s="223">
        <f t="shared" si="400"/>
        <v>1.1374916163648559</v>
      </c>
      <c r="AA292" s="179">
        <f t="shared" si="401"/>
        <v>2.1462105969148224</v>
      </c>
      <c r="AB292" s="179">
        <f t="shared" si="402"/>
        <v>0.96366969510948308</v>
      </c>
      <c r="AC292" s="179"/>
      <c r="AD292" s="179">
        <f t="shared" si="403"/>
        <v>0.5660377358490567</v>
      </c>
      <c r="AE292" s="563">
        <f t="shared" si="404"/>
        <v>2983.7037037037035</v>
      </c>
      <c r="AF292" s="546">
        <f t="shared" si="405"/>
        <v>8.9150943396226423E-2</v>
      </c>
      <c r="AH292" s="179">
        <f t="shared" si="406"/>
        <v>0.9811557810392123</v>
      </c>
      <c r="AI292" s="179">
        <f t="shared" si="407"/>
        <v>0.9811557810392123</v>
      </c>
      <c r="AJ292" s="179">
        <f t="shared" si="408"/>
        <v>1.7045598378068241</v>
      </c>
      <c r="AL292" s="563">
        <f t="shared" si="409"/>
        <v>760</v>
      </c>
      <c r="AM292" s="472">
        <f t="shared" si="410"/>
        <v>350</v>
      </c>
      <c r="AO292">
        <f t="shared" si="411"/>
        <v>760</v>
      </c>
      <c r="AP292">
        <f t="shared" si="412"/>
        <v>350</v>
      </c>
      <c r="AR292" s="6">
        <f t="shared" si="382"/>
        <v>2.8571428571428572</v>
      </c>
      <c r="AS292" s="6">
        <f t="shared" si="361"/>
        <v>0.61322236314950773</v>
      </c>
      <c r="AT292" s="6">
        <f t="shared" si="362"/>
        <v>2.2439204939933495</v>
      </c>
      <c r="AU292" s="179">
        <f t="shared" si="363"/>
        <v>0.2146278271023277</v>
      </c>
      <c r="CD292" s="581">
        <f t="shared" si="413"/>
        <v>-50</v>
      </c>
    </row>
    <row r="293" spans="5:82" x14ac:dyDescent="0.2">
      <c r="E293" s="176">
        <v>77</v>
      </c>
      <c r="F293" s="223">
        <f t="shared" si="414"/>
        <v>0.77</v>
      </c>
      <c r="G293" s="223">
        <f t="shared" si="383"/>
        <v>0.38500000000000001</v>
      </c>
      <c r="H293" s="223">
        <f t="shared" si="384"/>
        <v>3.85</v>
      </c>
      <c r="I293" s="223">
        <f t="shared" si="385"/>
        <v>1.2705</v>
      </c>
      <c r="J293" s="559">
        <f t="shared" si="386"/>
        <v>48</v>
      </c>
      <c r="K293" s="454">
        <f t="shared" si="387"/>
        <v>15.899999999999999</v>
      </c>
      <c r="L293" s="454">
        <f t="shared" si="388"/>
        <v>63.9</v>
      </c>
      <c r="M293" s="454"/>
      <c r="N293" s="223">
        <f t="shared" si="389"/>
        <v>0.24882629107981219</v>
      </c>
      <c r="O293" s="178">
        <f t="shared" si="390"/>
        <v>6.0616329556285065</v>
      </c>
      <c r="P293" s="178">
        <f t="shared" si="391"/>
        <v>2.6604507042253513</v>
      </c>
      <c r="Q293" s="223">
        <f t="shared" si="392"/>
        <v>1.2123265911257013</v>
      </c>
      <c r="R293" s="223">
        <f t="shared" si="393"/>
        <v>1.8368584714025777</v>
      </c>
      <c r="S293" s="223">
        <f t="shared" si="394"/>
        <v>5</v>
      </c>
      <c r="T293" s="223">
        <f t="shared" si="395"/>
        <v>0.95271357442348004</v>
      </c>
      <c r="U293" s="223">
        <f t="shared" si="396"/>
        <v>0.59544598401467508</v>
      </c>
      <c r="V293" s="223">
        <f t="shared" si="397"/>
        <v>1.7975727819310947</v>
      </c>
      <c r="W293" s="203">
        <f t="shared" si="398"/>
        <v>350</v>
      </c>
      <c r="X293" s="454">
        <f t="shared" si="399"/>
        <v>350</v>
      </c>
      <c r="Z293" s="223">
        <f t="shared" si="400"/>
        <v>1.1374916163648559</v>
      </c>
      <c r="AA293" s="179">
        <f t="shared" si="401"/>
        <v>2.1462105969148224</v>
      </c>
      <c r="AB293" s="179">
        <f t="shared" si="402"/>
        <v>0.96366969510948308</v>
      </c>
      <c r="AC293" s="179"/>
      <c r="AD293" s="179">
        <f t="shared" si="403"/>
        <v>0.5660377358490567</v>
      </c>
      <c r="AE293" s="563">
        <f t="shared" si="404"/>
        <v>3022.9629629629626</v>
      </c>
      <c r="AF293" s="546">
        <f t="shared" si="405"/>
        <v>8.9150943396226423E-2</v>
      </c>
      <c r="AH293" s="179">
        <f t="shared" si="406"/>
        <v>0.98758965837706769</v>
      </c>
      <c r="AI293" s="179">
        <f t="shared" si="407"/>
        <v>0.98758965837706769</v>
      </c>
      <c r="AJ293" s="179">
        <f t="shared" si="408"/>
        <v>1.709325672871902</v>
      </c>
      <c r="AL293" s="563">
        <f t="shared" si="409"/>
        <v>770</v>
      </c>
      <c r="AM293" s="472">
        <f t="shared" si="410"/>
        <v>350</v>
      </c>
      <c r="AO293">
        <f t="shared" si="411"/>
        <v>770</v>
      </c>
      <c r="AP293">
        <f t="shared" si="412"/>
        <v>350</v>
      </c>
      <c r="AR293" s="6">
        <f t="shared" si="382"/>
        <v>2.8571428571428572</v>
      </c>
      <c r="AS293" s="6">
        <f t="shared" si="361"/>
        <v>0.61724353648566732</v>
      </c>
      <c r="AT293" s="6">
        <f t="shared" si="362"/>
        <v>2.23989932065719</v>
      </c>
      <c r="AU293" s="179">
        <f t="shared" si="363"/>
        <v>0.21603523776998357</v>
      </c>
      <c r="CD293" s="581">
        <f t="shared" si="413"/>
        <v>-50</v>
      </c>
    </row>
    <row r="294" spans="5:82" x14ac:dyDescent="0.2">
      <c r="E294" s="176">
        <v>78</v>
      </c>
      <c r="F294" s="223">
        <f t="shared" si="414"/>
        <v>0.78</v>
      </c>
      <c r="G294" s="223">
        <f t="shared" si="383"/>
        <v>0.39</v>
      </c>
      <c r="H294" s="223">
        <f t="shared" si="384"/>
        <v>3.9000000000000004</v>
      </c>
      <c r="I294" s="223">
        <f t="shared" si="385"/>
        <v>1.2869999999999999</v>
      </c>
      <c r="J294" s="559">
        <f t="shared" si="386"/>
        <v>48</v>
      </c>
      <c r="K294" s="454">
        <f t="shared" si="387"/>
        <v>15.899999999999999</v>
      </c>
      <c r="L294" s="454">
        <f t="shared" si="388"/>
        <v>63.9</v>
      </c>
      <c r="M294" s="454"/>
      <c r="N294" s="223">
        <f t="shared" si="389"/>
        <v>0.24882629107981219</v>
      </c>
      <c r="O294" s="178">
        <f t="shared" si="390"/>
        <v>6.0616329556285065</v>
      </c>
      <c r="P294" s="178">
        <f t="shared" si="391"/>
        <v>2.6604507042253513</v>
      </c>
      <c r="Q294" s="223">
        <f t="shared" si="392"/>
        <v>1.2123265911257013</v>
      </c>
      <c r="R294" s="223">
        <f t="shared" si="393"/>
        <v>1.8368584714025777</v>
      </c>
      <c r="S294" s="223">
        <f t="shared" si="394"/>
        <v>5</v>
      </c>
      <c r="T294" s="223">
        <f t="shared" si="395"/>
        <v>0.96508647798742142</v>
      </c>
      <c r="U294" s="223">
        <f t="shared" si="396"/>
        <v>0.60317904874213846</v>
      </c>
      <c r="V294" s="223">
        <f t="shared" si="397"/>
        <v>1.8209178829951349</v>
      </c>
      <c r="W294" s="203">
        <f t="shared" si="398"/>
        <v>350</v>
      </c>
      <c r="X294" s="454">
        <f t="shared" si="399"/>
        <v>350</v>
      </c>
      <c r="Z294" s="223">
        <f t="shared" si="400"/>
        <v>1.1374916163648559</v>
      </c>
      <c r="AA294" s="179">
        <f t="shared" si="401"/>
        <v>2.1462105969148224</v>
      </c>
      <c r="AB294" s="179">
        <f t="shared" si="402"/>
        <v>0.96366969510948308</v>
      </c>
      <c r="AC294" s="179"/>
      <c r="AD294" s="179">
        <f t="shared" si="403"/>
        <v>0.5660377358490567</v>
      </c>
      <c r="AE294" s="563">
        <f t="shared" si="404"/>
        <v>3062.2222222222217</v>
      </c>
      <c r="AF294" s="546">
        <f t="shared" si="405"/>
        <v>8.9150943396226423E-2</v>
      </c>
      <c r="AH294" s="179">
        <f t="shared" si="406"/>
        <v>0.99398189118313418</v>
      </c>
      <c r="AI294" s="179">
        <f t="shared" si="407"/>
        <v>0.99398189118313418</v>
      </c>
      <c r="AJ294" s="179">
        <f t="shared" si="408"/>
        <v>1.7140606601356549</v>
      </c>
      <c r="AL294" s="563">
        <f t="shared" si="409"/>
        <v>780</v>
      </c>
      <c r="AM294" s="472">
        <f t="shared" si="410"/>
        <v>350</v>
      </c>
      <c r="AO294">
        <f t="shared" si="411"/>
        <v>780</v>
      </c>
      <c r="AP294">
        <f t="shared" si="412"/>
        <v>350</v>
      </c>
      <c r="AR294" s="6">
        <f t="shared" si="382"/>
        <v>2.8571428571428572</v>
      </c>
      <c r="AS294" s="6">
        <f t="shared" si="361"/>
        <v>0.62123868198945886</v>
      </c>
      <c r="AT294" s="6">
        <f t="shared" si="362"/>
        <v>2.2359041751533981</v>
      </c>
      <c r="AU294" s="179">
        <f t="shared" si="363"/>
        <v>0.2174335386963106</v>
      </c>
      <c r="CD294" s="581">
        <f t="shared" si="413"/>
        <v>-50</v>
      </c>
    </row>
    <row r="295" spans="5:82" x14ac:dyDescent="0.2">
      <c r="E295" s="176">
        <v>79</v>
      </c>
      <c r="F295" s="223">
        <f t="shared" si="414"/>
        <v>0.79</v>
      </c>
      <c r="G295" s="223">
        <f t="shared" si="383"/>
        <v>0.39500000000000002</v>
      </c>
      <c r="H295" s="223">
        <f t="shared" si="384"/>
        <v>3.95</v>
      </c>
      <c r="I295" s="223">
        <f t="shared" si="385"/>
        <v>1.3034999999999999</v>
      </c>
      <c r="J295" s="559">
        <f t="shared" si="386"/>
        <v>48</v>
      </c>
      <c r="K295" s="454">
        <f t="shared" si="387"/>
        <v>15.899999999999999</v>
      </c>
      <c r="L295" s="454">
        <f t="shared" si="388"/>
        <v>63.9</v>
      </c>
      <c r="M295" s="454"/>
      <c r="N295" s="223">
        <f t="shared" si="389"/>
        <v>0.24882629107981219</v>
      </c>
      <c r="O295" s="178">
        <f t="shared" si="390"/>
        <v>6.0616329556285065</v>
      </c>
      <c r="P295" s="178">
        <f t="shared" si="391"/>
        <v>2.6604507042253513</v>
      </c>
      <c r="Q295" s="223">
        <f t="shared" si="392"/>
        <v>1.2123265911257013</v>
      </c>
      <c r="R295" s="223">
        <f t="shared" si="393"/>
        <v>1.8368584714025777</v>
      </c>
      <c r="S295" s="223">
        <f t="shared" si="394"/>
        <v>5</v>
      </c>
      <c r="T295" s="223">
        <f t="shared" si="395"/>
        <v>0.97745938155136269</v>
      </c>
      <c r="U295" s="223">
        <f t="shared" si="396"/>
        <v>0.61091211346960173</v>
      </c>
      <c r="V295" s="223">
        <f t="shared" si="397"/>
        <v>1.8442629840591753</v>
      </c>
      <c r="W295" s="203">
        <f t="shared" si="398"/>
        <v>350</v>
      </c>
      <c r="X295" s="454">
        <f t="shared" si="399"/>
        <v>350</v>
      </c>
      <c r="Z295" s="223">
        <f t="shared" si="400"/>
        <v>1.1374916163648559</v>
      </c>
      <c r="AA295" s="179">
        <f t="shared" si="401"/>
        <v>2.1462105969148224</v>
      </c>
      <c r="AB295" s="179">
        <f t="shared" si="402"/>
        <v>0.96366969510948308</v>
      </c>
      <c r="AC295" s="179"/>
      <c r="AD295" s="179">
        <f t="shared" si="403"/>
        <v>0.5660377358490567</v>
      </c>
      <c r="AE295" s="563">
        <f t="shared" si="404"/>
        <v>3101.4814814814808</v>
      </c>
      <c r="AF295" s="546">
        <f t="shared" si="405"/>
        <v>8.9150943396226423E-2</v>
      </c>
      <c r="AH295" s="179">
        <f t="shared" si="406"/>
        <v>1.0003332777962886</v>
      </c>
      <c r="AI295" s="179">
        <f t="shared" si="407"/>
        <v>1.0003332777962886</v>
      </c>
      <c r="AJ295" s="179">
        <f t="shared" si="408"/>
        <v>1.7187653909602136</v>
      </c>
      <c r="AL295" s="563">
        <f t="shared" si="409"/>
        <v>790</v>
      </c>
      <c r="AM295" s="472">
        <f t="shared" si="410"/>
        <v>350</v>
      </c>
      <c r="AO295">
        <f t="shared" si="411"/>
        <v>790</v>
      </c>
      <c r="AP295">
        <f t="shared" si="412"/>
        <v>350</v>
      </c>
      <c r="AR295" s="6">
        <f t="shared" si="382"/>
        <v>2.8571428571428572</v>
      </c>
      <c r="AS295" s="6">
        <f t="shared" si="361"/>
        <v>0.62520829862268035</v>
      </c>
      <c r="AT295" s="6">
        <f t="shared" si="362"/>
        <v>2.2319345585201766</v>
      </c>
      <c r="AU295" s="179">
        <f t="shared" si="363"/>
        <v>0.21882290451793812</v>
      </c>
      <c r="CD295" s="581">
        <f t="shared" si="413"/>
        <v>-50</v>
      </c>
    </row>
    <row r="296" spans="5:82" x14ac:dyDescent="0.2">
      <c r="E296" s="176">
        <v>80</v>
      </c>
      <c r="F296" s="223">
        <f t="shared" si="414"/>
        <v>0.8</v>
      </c>
      <c r="G296" s="223">
        <f t="shared" si="383"/>
        <v>0.4</v>
      </c>
      <c r="H296" s="223">
        <f t="shared" si="384"/>
        <v>4</v>
      </c>
      <c r="I296" s="223">
        <f t="shared" si="385"/>
        <v>1.32</v>
      </c>
      <c r="J296" s="559">
        <f t="shared" si="386"/>
        <v>48</v>
      </c>
      <c r="K296" s="454">
        <f t="shared" si="387"/>
        <v>15.899999999999999</v>
      </c>
      <c r="L296" s="454">
        <f t="shared" si="388"/>
        <v>63.9</v>
      </c>
      <c r="M296" s="454"/>
      <c r="N296" s="223">
        <f t="shared" si="389"/>
        <v>0.24882629107981219</v>
      </c>
      <c r="O296" s="178">
        <f t="shared" si="390"/>
        <v>6.0616329556285065</v>
      </c>
      <c r="P296" s="178">
        <f t="shared" si="391"/>
        <v>2.6604507042253513</v>
      </c>
      <c r="Q296" s="223">
        <f t="shared" si="392"/>
        <v>1.2123265911257013</v>
      </c>
      <c r="R296" s="223">
        <f t="shared" si="393"/>
        <v>1.8368584714025777</v>
      </c>
      <c r="S296" s="223">
        <f t="shared" si="394"/>
        <v>5</v>
      </c>
      <c r="T296" s="223">
        <f t="shared" si="395"/>
        <v>0.98983228511530408</v>
      </c>
      <c r="U296" s="223">
        <f t="shared" si="396"/>
        <v>0.6186451781970651</v>
      </c>
      <c r="V296" s="223">
        <f t="shared" si="397"/>
        <v>1.8676080851232155</v>
      </c>
      <c r="W296" s="203">
        <f t="shared" si="398"/>
        <v>350</v>
      </c>
      <c r="X296" s="454">
        <f t="shared" si="399"/>
        <v>350</v>
      </c>
      <c r="Z296" s="223">
        <f t="shared" si="400"/>
        <v>1.1374916163648559</v>
      </c>
      <c r="AA296" s="179">
        <f t="shared" si="401"/>
        <v>2.1462105969148224</v>
      </c>
      <c r="AB296" s="179">
        <f t="shared" si="402"/>
        <v>0.96366969510948308</v>
      </c>
      <c r="AC296" s="179"/>
      <c r="AD296" s="179">
        <f t="shared" si="403"/>
        <v>0.5660377358490567</v>
      </c>
      <c r="AE296" s="563">
        <f t="shared" si="404"/>
        <v>3140.7407407407404</v>
      </c>
      <c r="AF296" s="546">
        <f t="shared" si="405"/>
        <v>8.9150943396226423E-2</v>
      </c>
      <c r="AH296" s="179">
        <f t="shared" si="406"/>
        <v>1.0066445913694333</v>
      </c>
      <c r="AI296" s="179">
        <f t="shared" si="407"/>
        <v>1.0066445913694333</v>
      </c>
      <c r="AJ296" s="179">
        <f t="shared" si="408"/>
        <v>1.7234404380514321</v>
      </c>
      <c r="AL296" s="563">
        <f t="shared" si="409"/>
        <v>800</v>
      </c>
      <c r="AM296" s="472">
        <f t="shared" si="410"/>
        <v>350</v>
      </c>
      <c r="AO296">
        <f t="shared" si="411"/>
        <v>800</v>
      </c>
      <c r="AP296">
        <f t="shared" si="412"/>
        <v>350</v>
      </c>
      <c r="AR296" s="6">
        <f t="shared" si="382"/>
        <v>2.8571428571428572</v>
      </c>
      <c r="AS296" s="6">
        <f t="shared" si="361"/>
        <v>0.62915286960589578</v>
      </c>
      <c r="AT296" s="6">
        <f t="shared" si="362"/>
        <v>2.2279899875369615</v>
      </c>
      <c r="AU296" s="179">
        <f t="shared" si="363"/>
        <v>0.22020350436206351</v>
      </c>
      <c r="CD296" s="581">
        <f t="shared" si="413"/>
        <v>-50</v>
      </c>
    </row>
    <row r="297" spans="5:82" x14ac:dyDescent="0.2">
      <c r="E297" s="176">
        <v>81</v>
      </c>
      <c r="F297" s="223">
        <f t="shared" si="414"/>
        <v>0.81</v>
      </c>
      <c r="G297" s="223">
        <f t="shared" si="383"/>
        <v>0.40500000000000003</v>
      </c>
      <c r="H297" s="223">
        <f t="shared" si="384"/>
        <v>4.0500000000000007</v>
      </c>
      <c r="I297" s="223">
        <f t="shared" si="385"/>
        <v>1.3365</v>
      </c>
      <c r="J297" s="559">
        <f t="shared" si="386"/>
        <v>48</v>
      </c>
      <c r="K297" s="454">
        <f t="shared" si="387"/>
        <v>15.899999999999999</v>
      </c>
      <c r="L297" s="454">
        <f t="shared" si="388"/>
        <v>63.9</v>
      </c>
      <c r="M297" s="454"/>
      <c r="N297" s="223">
        <f t="shared" si="389"/>
        <v>0.24882629107981219</v>
      </c>
      <c r="O297" s="178">
        <f t="shared" si="390"/>
        <v>6.0616329556285065</v>
      </c>
      <c r="P297" s="178">
        <f t="shared" si="391"/>
        <v>2.6604507042253513</v>
      </c>
      <c r="Q297" s="223">
        <f t="shared" si="392"/>
        <v>1.2123265911257013</v>
      </c>
      <c r="R297" s="223">
        <f t="shared" si="393"/>
        <v>1.8368584714025777</v>
      </c>
      <c r="S297" s="223">
        <f t="shared" si="394"/>
        <v>5</v>
      </c>
      <c r="T297" s="223">
        <f t="shared" si="395"/>
        <v>1.0022051886792454</v>
      </c>
      <c r="U297" s="223">
        <f t="shared" si="396"/>
        <v>0.62637824292452837</v>
      </c>
      <c r="V297" s="223">
        <f t="shared" si="397"/>
        <v>1.8909531861872557</v>
      </c>
      <c r="W297" s="203">
        <f t="shared" si="398"/>
        <v>350</v>
      </c>
      <c r="X297" s="454">
        <f t="shared" si="399"/>
        <v>350</v>
      </c>
      <c r="Z297" s="223">
        <f t="shared" si="400"/>
        <v>1.1374916163648559</v>
      </c>
      <c r="AA297" s="179">
        <f t="shared" si="401"/>
        <v>2.1462105969148224</v>
      </c>
      <c r="AB297" s="179">
        <f t="shared" si="402"/>
        <v>0.96366969510948308</v>
      </c>
      <c r="AC297" s="179"/>
      <c r="AD297" s="179">
        <f t="shared" si="403"/>
        <v>0.5660377358490567</v>
      </c>
      <c r="AE297" s="563">
        <f t="shared" si="404"/>
        <v>3179.9999999999995</v>
      </c>
      <c r="AF297" s="546">
        <f t="shared" si="405"/>
        <v>8.9150943396226423E-2</v>
      </c>
      <c r="AH297" s="179">
        <f t="shared" si="406"/>
        <v>1.012916580968048</v>
      </c>
      <c r="AI297" s="179">
        <f t="shared" si="407"/>
        <v>1.012916580968048</v>
      </c>
      <c r="AJ297" s="179">
        <f t="shared" si="408"/>
        <v>1.7280863562726281</v>
      </c>
      <c r="AL297" s="563">
        <f t="shared" si="409"/>
        <v>810</v>
      </c>
      <c r="AM297" s="472">
        <f t="shared" si="410"/>
        <v>350</v>
      </c>
      <c r="AO297">
        <f t="shared" si="411"/>
        <v>810</v>
      </c>
      <c r="AP297">
        <f t="shared" si="412"/>
        <v>350</v>
      </c>
      <c r="AR297" s="6">
        <f t="shared" si="382"/>
        <v>2.8571428571428572</v>
      </c>
      <c r="AS297" s="6">
        <f t="shared" si="361"/>
        <v>0.63307286310502997</v>
      </c>
      <c r="AT297" s="6">
        <f t="shared" si="362"/>
        <v>2.2240699940378272</v>
      </c>
      <c r="AU297" s="179">
        <f t="shared" si="363"/>
        <v>0.2215755020867605</v>
      </c>
      <c r="CD297" s="581">
        <f t="shared" si="413"/>
        <v>-50</v>
      </c>
    </row>
    <row r="298" spans="5:82" x14ac:dyDescent="0.2">
      <c r="E298" s="176">
        <v>82</v>
      </c>
      <c r="F298" s="223">
        <f t="shared" si="414"/>
        <v>0.82</v>
      </c>
      <c r="G298" s="223">
        <f t="shared" si="383"/>
        <v>0.41</v>
      </c>
      <c r="H298" s="223">
        <f t="shared" si="384"/>
        <v>4.0999999999999996</v>
      </c>
      <c r="I298" s="223">
        <f t="shared" si="385"/>
        <v>1.3529999999999998</v>
      </c>
      <c r="J298" s="559">
        <f t="shared" si="386"/>
        <v>48</v>
      </c>
      <c r="K298" s="454">
        <f t="shared" si="387"/>
        <v>15.899999999999999</v>
      </c>
      <c r="L298" s="454">
        <f t="shared" si="388"/>
        <v>63.9</v>
      </c>
      <c r="M298" s="454"/>
      <c r="N298" s="223">
        <f t="shared" si="389"/>
        <v>0.24882629107981219</v>
      </c>
      <c r="O298" s="178">
        <f t="shared" si="390"/>
        <v>6.0616329556285065</v>
      </c>
      <c r="P298" s="178">
        <f t="shared" si="391"/>
        <v>2.6604507042253513</v>
      </c>
      <c r="Q298" s="223">
        <f t="shared" si="392"/>
        <v>1.2123265911257013</v>
      </c>
      <c r="R298" s="223">
        <f t="shared" si="393"/>
        <v>1.8368584714025777</v>
      </c>
      <c r="S298" s="223">
        <f t="shared" si="394"/>
        <v>5</v>
      </c>
      <c r="T298" s="223">
        <f t="shared" si="395"/>
        <v>1.0145780922431864</v>
      </c>
      <c r="U298" s="223">
        <f t="shared" si="396"/>
        <v>0.63411130765199142</v>
      </c>
      <c r="V298" s="223">
        <f t="shared" si="397"/>
        <v>1.9142982872512955</v>
      </c>
      <c r="W298" s="203">
        <f t="shared" si="398"/>
        <v>350</v>
      </c>
      <c r="X298" s="454">
        <f t="shared" si="399"/>
        <v>350</v>
      </c>
      <c r="Z298" s="223">
        <f t="shared" si="400"/>
        <v>1.1374916163648559</v>
      </c>
      <c r="AA298" s="179">
        <f t="shared" si="401"/>
        <v>2.1462105969148224</v>
      </c>
      <c r="AB298" s="179">
        <f t="shared" si="402"/>
        <v>0.96366969510948308</v>
      </c>
      <c r="AC298" s="179"/>
      <c r="AD298" s="179">
        <f t="shared" si="403"/>
        <v>0.5660377358490567</v>
      </c>
      <c r="AE298" s="563">
        <f t="shared" si="404"/>
        <v>3219.2592592592582</v>
      </c>
      <c r="AF298" s="546">
        <f t="shared" si="405"/>
        <v>8.9150943396226423E-2</v>
      </c>
      <c r="AH298" s="179">
        <f t="shared" si="406"/>
        <v>1.0191499726078919</v>
      </c>
      <c r="AI298" s="179">
        <f t="shared" si="407"/>
        <v>1.0191499726078919</v>
      </c>
      <c r="AJ298" s="179">
        <f t="shared" si="408"/>
        <v>1.732703683413253</v>
      </c>
      <c r="AL298" s="563">
        <f t="shared" si="409"/>
        <v>820</v>
      </c>
      <c r="AM298" s="472">
        <f t="shared" si="410"/>
        <v>350</v>
      </c>
      <c r="AO298">
        <f t="shared" si="411"/>
        <v>820</v>
      </c>
      <c r="AP298">
        <f t="shared" si="412"/>
        <v>350</v>
      </c>
      <c r="AR298" s="6">
        <f t="shared" si="382"/>
        <v>2.8571428571428572</v>
      </c>
      <c r="AS298" s="6">
        <f t="shared" si="361"/>
        <v>0.6369687328799325</v>
      </c>
      <c r="AT298" s="6">
        <f t="shared" si="362"/>
        <v>2.2201741242629245</v>
      </c>
      <c r="AU298" s="179">
        <f t="shared" si="363"/>
        <v>0.22293905650797638</v>
      </c>
      <c r="CD298" s="581">
        <f t="shared" si="413"/>
        <v>-50</v>
      </c>
    </row>
    <row r="299" spans="5:82" x14ac:dyDescent="0.2">
      <c r="E299" s="176">
        <v>83</v>
      </c>
      <c r="F299" s="223">
        <f t="shared" si="414"/>
        <v>0.83</v>
      </c>
      <c r="G299" s="223">
        <f t="shared" si="383"/>
        <v>0.41499999999999998</v>
      </c>
      <c r="H299" s="223">
        <f t="shared" si="384"/>
        <v>4.1499999999999995</v>
      </c>
      <c r="I299" s="223">
        <f t="shared" si="385"/>
        <v>1.3694999999999999</v>
      </c>
      <c r="J299" s="559">
        <f t="shared" si="386"/>
        <v>48</v>
      </c>
      <c r="K299" s="454">
        <f t="shared" si="387"/>
        <v>15.899999999999999</v>
      </c>
      <c r="L299" s="454">
        <f t="shared" si="388"/>
        <v>63.9</v>
      </c>
      <c r="M299" s="454"/>
      <c r="N299" s="223">
        <f t="shared" si="389"/>
        <v>0.24882629107981219</v>
      </c>
      <c r="O299" s="178">
        <f t="shared" si="390"/>
        <v>6.0616329556285065</v>
      </c>
      <c r="P299" s="178">
        <f t="shared" si="391"/>
        <v>2.6604507042253513</v>
      </c>
      <c r="Q299" s="223">
        <f t="shared" si="392"/>
        <v>1.2123265911257013</v>
      </c>
      <c r="R299" s="223">
        <f t="shared" si="393"/>
        <v>1.8368584714025777</v>
      </c>
      <c r="S299" s="223">
        <f t="shared" si="394"/>
        <v>5</v>
      </c>
      <c r="T299" s="223">
        <f t="shared" si="395"/>
        <v>1.0269509958071277</v>
      </c>
      <c r="U299" s="223">
        <f t="shared" si="396"/>
        <v>0.64184437237945469</v>
      </c>
      <c r="V299" s="223">
        <f t="shared" si="397"/>
        <v>1.9376433883153352</v>
      </c>
      <c r="W299" s="203">
        <f t="shared" si="398"/>
        <v>350</v>
      </c>
      <c r="X299" s="454">
        <f t="shared" si="399"/>
        <v>350</v>
      </c>
      <c r="Z299" s="223">
        <f t="shared" si="400"/>
        <v>1.1374916163648559</v>
      </c>
      <c r="AA299" s="179">
        <f t="shared" si="401"/>
        <v>2.1462105969148224</v>
      </c>
      <c r="AB299" s="179">
        <f t="shared" si="402"/>
        <v>0.96366969510948308</v>
      </c>
      <c r="AC299" s="179"/>
      <c r="AD299" s="179">
        <f t="shared" si="403"/>
        <v>0.5660377358490567</v>
      </c>
      <c r="AE299" s="563">
        <f t="shared" si="404"/>
        <v>3258.5185185185178</v>
      </c>
      <c r="AF299" s="546">
        <f t="shared" si="405"/>
        <v>8.9150943396226423E-2</v>
      </c>
      <c r="AH299" s="179">
        <f t="shared" si="406"/>
        <v>1.0253454702359266</v>
      </c>
      <c r="AI299" s="179">
        <f t="shared" si="407"/>
        <v>1.0253454702359266</v>
      </c>
      <c r="AJ299" s="179">
        <f t="shared" si="408"/>
        <v>1.7372929409155011</v>
      </c>
      <c r="AL299" s="563">
        <f t="shared" si="409"/>
        <v>830</v>
      </c>
      <c r="AM299" s="472">
        <f t="shared" si="410"/>
        <v>350</v>
      </c>
      <c r="AO299">
        <f t="shared" si="411"/>
        <v>830</v>
      </c>
      <c r="AP299">
        <f t="shared" si="412"/>
        <v>350</v>
      </c>
      <c r="AR299" s="6">
        <f t="shared" si="382"/>
        <v>2.8571428571428572</v>
      </c>
      <c r="AS299" s="6">
        <f t="shared" si="361"/>
        <v>0.64084091889745409</v>
      </c>
      <c r="AT299" s="6">
        <f t="shared" si="362"/>
        <v>2.2163019382454032</v>
      </c>
      <c r="AU299" s="179">
        <f t="shared" si="363"/>
        <v>0.22429432161410892</v>
      </c>
      <c r="CD299" s="581">
        <f t="shared" si="413"/>
        <v>-50</v>
      </c>
    </row>
    <row r="300" spans="5:82" x14ac:dyDescent="0.2">
      <c r="E300" s="176">
        <v>84</v>
      </c>
      <c r="F300" s="223">
        <f t="shared" si="414"/>
        <v>0.84</v>
      </c>
      <c r="G300" s="223">
        <f t="shared" si="383"/>
        <v>0.42</v>
      </c>
      <c r="H300" s="223">
        <f t="shared" si="384"/>
        <v>4.2</v>
      </c>
      <c r="I300" s="223">
        <f t="shared" si="385"/>
        <v>1.3859999999999999</v>
      </c>
      <c r="J300" s="559">
        <f t="shared" si="386"/>
        <v>48</v>
      </c>
      <c r="K300" s="454">
        <f t="shared" si="387"/>
        <v>15.899999999999999</v>
      </c>
      <c r="L300" s="454">
        <f t="shared" si="388"/>
        <v>63.9</v>
      </c>
      <c r="M300" s="454"/>
      <c r="N300" s="223">
        <f t="shared" si="389"/>
        <v>0.24882629107981219</v>
      </c>
      <c r="O300" s="178">
        <f t="shared" si="390"/>
        <v>6.0616329556285065</v>
      </c>
      <c r="P300" s="178">
        <f t="shared" si="391"/>
        <v>2.6604507042253513</v>
      </c>
      <c r="Q300" s="223">
        <f t="shared" si="392"/>
        <v>1.2123265911257013</v>
      </c>
      <c r="R300" s="223">
        <f t="shared" si="393"/>
        <v>1.8368584714025777</v>
      </c>
      <c r="S300" s="223">
        <f t="shared" si="394"/>
        <v>5</v>
      </c>
      <c r="T300" s="223">
        <f t="shared" si="395"/>
        <v>1.0393238993710692</v>
      </c>
      <c r="U300" s="223">
        <f t="shared" si="396"/>
        <v>0.64957743710691829</v>
      </c>
      <c r="V300" s="223">
        <f t="shared" si="397"/>
        <v>1.9609884893793763</v>
      </c>
      <c r="W300" s="203">
        <f t="shared" si="398"/>
        <v>350</v>
      </c>
      <c r="X300" s="454">
        <f t="shared" si="399"/>
        <v>350</v>
      </c>
      <c r="Z300" s="223">
        <f t="shared" si="400"/>
        <v>1.1374916163648559</v>
      </c>
      <c r="AA300" s="179">
        <f t="shared" si="401"/>
        <v>2.1462105969148224</v>
      </c>
      <c r="AB300" s="179">
        <f t="shared" si="402"/>
        <v>0.96366969510948308</v>
      </c>
      <c r="AC300" s="179"/>
      <c r="AD300" s="179">
        <f t="shared" si="403"/>
        <v>0.5660377358490567</v>
      </c>
      <c r="AE300" s="563">
        <f t="shared" si="404"/>
        <v>3297.7777777777765</v>
      </c>
      <c r="AF300" s="546">
        <f t="shared" si="405"/>
        <v>8.9150943396226423E-2</v>
      </c>
      <c r="AH300" s="179">
        <f t="shared" si="406"/>
        <v>1.0315037566582101</v>
      </c>
      <c r="AI300" s="179">
        <f t="shared" si="407"/>
        <v>1.0315037566582101</v>
      </c>
      <c r="AJ300" s="179">
        <f t="shared" si="408"/>
        <v>1.741854634561637</v>
      </c>
      <c r="AL300" s="563">
        <f t="shared" si="409"/>
        <v>840</v>
      </c>
      <c r="AM300" s="472">
        <f t="shared" si="410"/>
        <v>350</v>
      </c>
      <c r="AO300">
        <f t="shared" si="411"/>
        <v>840</v>
      </c>
      <c r="AP300">
        <f t="shared" si="412"/>
        <v>350</v>
      </c>
      <c r="AR300" s="6">
        <f t="shared" si="382"/>
        <v>2.8571428571428572</v>
      </c>
      <c r="AS300" s="6">
        <f t="shared" si="361"/>
        <v>0.6446898479113814</v>
      </c>
      <c r="AT300" s="6">
        <f t="shared" si="362"/>
        <v>2.212453009231476</v>
      </c>
      <c r="AU300" s="179">
        <f t="shared" si="363"/>
        <v>0.22564144676898348</v>
      </c>
      <c r="CD300" s="581">
        <f t="shared" si="413"/>
        <v>-50</v>
      </c>
    </row>
    <row r="301" spans="5:82" x14ac:dyDescent="0.2">
      <c r="E301" s="176">
        <v>85</v>
      </c>
      <c r="F301" s="223">
        <f t="shared" si="414"/>
        <v>0.85</v>
      </c>
      <c r="G301" s="223">
        <f t="shared" si="383"/>
        <v>0.42499999999999999</v>
      </c>
      <c r="H301" s="223">
        <f t="shared" si="384"/>
        <v>4.25</v>
      </c>
      <c r="I301" s="223">
        <f t="shared" si="385"/>
        <v>1.4024999999999999</v>
      </c>
      <c r="J301" s="559">
        <f t="shared" si="386"/>
        <v>48</v>
      </c>
      <c r="K301" s="454">
        <f t="shared" si="387"/>
        <v>15.899999999999999</v>
      </c>
      <c r="L301" s="454">
        <f t="shared" si="388"/>
        <v>63.9</v>
      </c>
      <c r="M301" s="454"/>
      <c r="N301" s="223">
        <f t="shared" si="389"/>
        <v>0.24882629107981219</v>
      </c>
      <c r="O301" s="178">
        <f t="shared" si="390"/>
        <v>6.0616329556285065</v>
      </c>
      <c r="P301" s="178">
        <f t="shared" si="391"/>
        <v>2.6604507042253513</v>
      </c>
      <c r="Q301" s="223">
        <f t="shared" si="392"/>
        <v>1.2123265911257013</v>
      </c>
      <c r="R301" s="223">
        <f t="shared" si="393"/>
        <v>1.8368584714025777</v>
      </c>
      <c r="S301" s="223">
        <f t="shared" si="394"/>
        <v>5</v>
      </c>
      <c r="T301" s="223">
        <f t="shared" si="395"/>
        <v>1.0516968029350104</v>
      </c>
      <c r="U301" s="223">
        <f t="shared" si="396"/>
        <v>0.65731050183438156</v>
      </c>
      <c r="V301" s="223">
        <f t="shared" si="397"/>
        <v>1.9843335904434161</v>
      </c>
      <c r="W301" s="203">
        <f t="shared" si="398"/>
        <v>350</v>
      </c>
      <c r="X301" s="454">
        <f t="shared" si="399"/>
        <v>350</v>
      </c>
      <c r="Z301" s="223">
        <f t="shared" si="400"/>
        <v>1.1374916163648559</v>
      </c>
      <c r="AA301" s="179">
        <f t="shared" si="401"/>
        <v>2.1462105969148224</v>
      </c>
      <c r="AB301" s="179">
        <f t="shared" si="402"/>
        <v>0.96366969510948308</v>
      </c>
      <c r="AC301" s="179"/>
      <c r="AD301" s="179">
        <f t="shared" si="403"/>
        <v>0.5660377358490567</v>
      </c>
      <c r="AE301" s="563">
        <f t="shared" si="404"/>
        <v>3337.0370370370365</v>
      </c>
      <c r="AF301" s="546">
        <f t="shared" si="405"/>
        <v>8.9150943396226423E-2</v>
      </c>
      <c r="AH301" s="179">
        <f t="shared" si="406"/>
        <v>1.0376254944182253</v>
      </c>
      <c r="AI301" s="179">
        <f t="shared" si="407"/>
        <v>1.0376254944182253</v>
      </c>
      <c r="AJ301" s="179">
        <f t="shared" si="408"/>
        <v>1.7463892551246112</v>
      </c>
      <c r="AL301" s="563">
        <f t="shared" si="409"/>
        <v>850</v>
      </c>
      <c r="AM301" s="472">
        <f t="shared" si="410"/>
        <v>350</v>
      </c>
      <c r="AO301">
        <f t="shared" si="411"/>
        <v>850</v>
      </c>
      <c r="AP301">
        <f t="shared" si="412"/>
        <v>350</v>
      </c>
      <c r="AR301" s="6">
        <f t="shared" si="382"/>
        <v>2.8571428571428572</v>
      </c>
      <c r="AS301" s="6">
        <f t="shared" si="361"/>
        <v>0.64851593401139085</v>
      </c>
      <c r="AT301" s="6">
        <f t="shared" si="362"/>
        <v>2.2086269231314661</v>
      </c>
      <c r="AU301" s="179">
        <f t="shared" si="363"/>
        <v>0.22698057690398679</v>
      </c>
      <c r="CD301" s="581">
        <f t="shared" si="413"/>
        <v>-50</v>
      </c>
    </row>
    <row r="302" spans="5:82" x14ac:dyDescent="0.2">
      <c r="E302" s="176">
        <v>86</v>
      </c>
      <c r="F302" s="223">
        <f t="shared" si="414"/>
        <v>0.86</v>
      </c>
      <c r="G302" s="223">
        <f t="shared" si="383"/>
        <v>0.43</v>
      </c>
      <c r="H302" s="223">
        <f t="shared" si="384"/>
        <v>4.3</v>
      </c>
      <c r="I302" s="223">
        <f t="shared" si="385"/>
        <v>1.4189999999999998</v>
      </c>
      <c r="J302" s="559">
        <f t="shared" si="386"/>
        <v>48</v>
      </c>
      <c r="K302" s="454">
        <f t="shared" si="387"/>
        <v>15.899999999999999</v>
      </c>
      <c r="L302" s="454">
        <f t="shared" si="388"/>
        <v>63.9</v>
      </c>
      <c r="M302" s="454"/>
      <c r="N302" s="223">
        <f t="shared" si="389"/>
        <v>0.24882629107981219</v>
      </c>
      <c r="O302" s="178">
        <f t="shared" si="390"/>
        <v>6.0616329556285065</v>
      </c>
      <c r="P302" s="178">
        <f t="shared" si="391"/>
        <v>2.6604507042253513</v>
      </c>
      <c r="Q302" s="223">
        <f t="shared" si="392"/>
        <v>1.2123265911257013</v>
      </c>
      <c r="R302" s="223">
        <f t="shared" si="393"/>
        <v>1.8368584714025777</v>
      </c>
      <c r="S302" s="223">
        <f t="shared" si="394"/>
        <v>5</v>
      </c>
      <c r="T302" s="223">
        <f t="shared" si="395"/>
        <v>1.0640697064989517</v>
      </c>
      <c r="U302" s="223">
        <f t="shared" si="396"/>
        <v>0.66504356656184482</v>
      </c>
      <c r="V302" s="223">
        <f t="shared" si="397"/>
        <v>2.0076786915074565</v>
      </c>
      <c r="W302" s="203">
        <f t="shared" si="398"/>
        <v>350</v>
      </c>
      <c r="X302" s="454">
        <f t="shared" si="399"/>
        <v>350</v>
      </c>
      <c r="Z302" s="223">
        <f t="shared" si="400"/>
        <v>1.1374916163648559</v>
      </c>
      <c r="AA302" s="179">
        <f t="shared" si="401"/>
        <v>2.1462105969148224</v>
      </c>
      <c r="AB302" s="179">
        <f t="shared" si="402"/>
        <v>0.96366969510948308</v>
      </c>
      <c r="AC302" s="179"/>
      <c r="AD302" s="179">
        <f t="shared" si="403"/>
        <v>0.5660377358490567</v>
      </c>
      <c r="AE302" s="563">
        <f t="shared" si="404"/>
        <v>3376.2962962962956</v>
      </c>
      <c r="AF302" s="546">
        <f t="shared" si="405"/>
        <v>8.9150943396226423E-2</v>
      </c>
      <c r="AH302" s="179">
        <f t="shared" si="406"/>
        <v>1.04371132662884</v>
      </c>
      <c r="AI302" s="179">
        <f t="shared" si="407"/>
        <v>1.04371132662884</v>
      </c>
      <c r="AJ302" s="179">
        <f t="shared" si="408"/>
        <v>1.750897278984326</v>
      </c>
      <c r="AL302" s="563">
        <f t="shared" si="409"/>
        <v>860</v>
      </c>
      <c r="AM302" s="472">
        <f t="shared" si="410"/>
        <v>350</v>
      </c>
      <c r="AO302">
        <f t="shared" si="411"/>
        <v>860</v>
      </c>
      <c r="AP302">
        <f t="shared" si="412"/>
        <v>350</v>
      </c>
      <c r="AR302" s="6">
        <f t="shared" si="382"/>
        <v>2.8571428571428572</v>
      </c>
      <c r="AS302" s="6">
        <f t="shared" si="361"/>
        <v>0.65231957914302496</v>
      </c>
      <c r="AT302" s="6">
        <f t="shared" si="362"/>
        <v>2.2048232779998322</v>
      </c>
      <c r="AU302" s="179">
        <f t="shared" si="363"/>
        <v>0.22831185270005874</v>
      </c>
      <c r="CD302" s="581">
        <f t="shared" si="413"/>
        <v>-50</v>
      </c>
    </row>
    <row r="303" spans="5:82" x14ac:dyDescent="0.2">
      <c r="E303" s="176">
        <v>87</v>
      </c>
      <c r="F303" s="223">
        <f t="shared" si="414"/>
        <v>0.87</v>
      </c>
      <c r="G303" s="223">
        <f t="shared" si="383"/>
        <v>0.435</v>
      </c>
      <c r="H303" s="223">
        <f t="shared" si="384"/>
        <v>4.3499999999999996</v>
      </c>
      <c r="I303" s="223">
        <f t="shared" si="385"/>
        <v>1.4355</v>
      </c>
      <c r="J303" s="559">
        <f t="shared" si="386"/>
        <v>48</v>
      </c>
      <c r="K303" s="454">
        <f t="shared" si="387"/>
        <v>15.899999999999999</v>
      </c>
      <c r="L303" s="454">
        <f t="shared" si="388"/>
        <v>63.9</v>
      </c>
      <c r="M303" s="454"/>
      <c r="N303" s="223">
        <f t="shared" si="389"/>
        <v>0.24882629107981219</v>
      </c>
      <c r="O303" s="178">
        <f t="shared" si="390"/>
        <v>6.0616329556285065</v>
      </c>
      <c r="P303" s="178">
        <f t="shared" si="391"/>
        <v>2.6604507042253513</v>
      </c>
      <c r="Q303" s="223">
        <f t="shared" si="392"/>
        <v>1.2123265911257013</v>
      </c>
      <c r="R303" s="223">
        <f t="shared" si="393"/>
        <v>1.8368584714025777</v>
      </c>
      <c r="S303" s="223">
        <f t="shared" si="394"/>
        <v>5</v>
      </c>
      <c r="T303" s="223">
        <f t="shared" si="395"/>
        <v>1.076442610062893</v>
      </c>
      <c r="U303" s="223">
        <f t="shared" si="396"/>
        <v>0.67277663128930809</v>
      </c>
      <c r="V303" s="223">
        <f t="shared" si="397"/>
        <v>2.0310237925714967</v>
      </c>
      <c r="W303" s="203">
        <f t="shared" si="398"/>
        <v>350</v>
      </c>
      <c r="X303" s="454">
        <f t="shared" si="399"/>
        <v>350</v>
      </c>
      <c r="Z303" s="223">
        <f t="shared" si="400"/>
        <v>1.1374916163648559</v>
      </c>
      <c r="AA303" s="179">
        <f t="shared" si="401"/>
        <v>2.1462105969148224</v>
      </c>
      <c r="AB303" s="179">
        <f t="shared" si="402"/>
        <v>0.96366969510948308</v>
      </c>
      <c r="AC303" s="179"/>
      <c r="AD303" s="179">
        <f t="shared" si="403"/>
        <v>0.5660377358490567</v>
      </c>
      <c r="AE303" s="563">
        <f t="shared" si="404"/>
        <v>3415.5555555555557</v>
      </c>
      <c r="AF303" s="546">
        <f t="shared" si="405"/>
        <v>8.9150943396226423E-2</v>
      </c>
      <c r="AH303" s="179">
        <f t="shared" si="406"/>
        <v>1.0497618777608566</v>
      </c>
      <c r="AI303" s="179">
        <f t="shared" si="407"/>
        <v>1.0497618777608566</v>
      </c>
      <c r="AJ303" s="179">
        <f t="shared" si="408"/>
        <v>1.7553791687117455</v>
      </c>
      <c r="AL303" s="563">
        <f t="shared" si="409"/>
        <v>870</v>
      </c>
      <c r="AM303" s="472">
        <f t="shared" si="410"/>
        <v>350</v>
      </c>
      <c r="AO303">
        <f t="shared" si="411"/>
        <v>870</v>
      </c>
      <c r="AP303">
        <f t="shared" si="412"/>
        <v>350</v>
      </c>
      <c r="AR303" s="6">
        <f t="shared" si="382"/>
        <v>2.8571428571428572</v>
      </c>
      <c r="AS303" s="6">
        <f t="shared" si="361"/>
        <v>0.65610117360053533</v>
      </c>
      <c r="AT303" s="6">
        <f t="shared" si="362"/>
        <v>2.2010416835423219</v>
      </c>
      <c r="AU303" s="179">
        <f t="shared" si="363"/>
        <v>0.22963541076018737</v>
      </c>
      <c r="CD303" s="581">
        <f t="shared" si="413"/>
        <v>-50</v>
      </c>
    </row>
    <row r="304" spans="5:82" x14ac:dyDescent="0.2">
      <c r="E304" s="176">
        <v>88</v>
      </c>
      <c r="F304" s="223">
        <f t="shared" si="414"/>
        <v>0.88</v>
      </c>
      <c r="G304" s="223">
        <f t="shared" si="383"/>
        <v>0.44</v>
      </c>
      <c r="H304" s="223">
        <f t="shared" si="384"/>
        <v>4.4000000000000004</v>
      </c>
      <c r="I304" s="223">
        <f t="shared" si="385"/>
        <v>1.452</v>
      </c>
      <c r="J304" s="559">
        <f t="shared" si="386"/>
        <v>48</v>
      </c>
      <c r="K304" s="454">
        <f t="shared" si="387"/>
        <v>15.899999999999999</v>
      </c>
      <c r="L304" s="454">
        <f t="shared" si="388"/>
        <v>63.9</v>
      </c>
      <c r="M304" s="454"/>
      <c r="N304" s="223">
        <f t="shared" si="389"/>
        <v>0.24882629107981219</v>
      </c>
      <c r="O304" s="178">
        <f t="shared" si="390"/>
        <v>6.0616329556285065</v>
      </c>
      <c r="P304" s="178">
        <f t="shared" si="391"/>
        <v>2.6604507042253513</v>
      </c>
      <c r="Q304" s="223">
        <f t="shared" si="392"/>
        <v>1.2123265911257013</v>
      </c>
      <c r="R304" s="223">
        <f t="shared" si="393"/>
        <v>1.8368584714025777</v>
      </c>
      <c r="S304" s="223">
        <f t="shared" si="394"/>
        <v>5</v>
      </c>
      <c r="T304" s="223">
        <f t="shared" si="395"/>
        <v>1.0888155136268345</v>
      </c>
      <c r="U304" s="223">
        <f t="shared" si="396"/>
        <v>0.68050969601677147</v>
      </c>
      <c r="V304" s="223">
        <f t="shared" si="397"/>
        <v>2.0543688936355369</v>
      </c>
      <c r="W304" s="203">
        <f t="shared" si="398"/>
        <v>350</v>
      </c>
      <c r="X304" s="454">
        <f t="shared" si="399"/>
        <v>350</v>
      </c>
      <c r="Z304" s="223">
        <f t="shared" si="400"/>
        <v>1.1374916163648559</v>
      </c>
      <c r="AA304" s="179">
        <f t="shared" si="401"/>
        <v>2.1462105969148224</v>
      </c>
      <c r="AB304" s="179">
        <f t="shared" si="402"/>
        <v>0.96366969510948308</v>
      </c>
      <c r="AC304" s="179"/>
      <c r="AD304" s="179">
        <f t="shared" si="403"/>
        <v>0.5660377358490567</v>
      </c>
      <c r="AE304" s="563">
        <f t="shared" si="404"/>
        <v>3454.8148148148148</v>
      </c>
      <c r="AF304" s="546">
        <f t="shared" si="405"/>
        <v>8.9150943396226423E-2</v>
      </c>
      <c r="AH304" s="179">
        <f t="shared" si="406"/>
        <v>1.0557777543908882</v>
      </c>
      <c r="AI304" s="179">
        <f t="shared" si="407"/>
        <v>1.0557777543908882</v>
      </c>
      <c r="AJ304" s="179">
        <f t="shared" si="408"/>
        <v>1.75983537362288</v>
      </c>
      <c r="AL304" s="563">
        <f t="shared" si="409"/>
        <v>880</v>
      </c>
      <c r="AM304" s="472">
        <f t="shared" si="410"/>
        <v>350</v>
      </c>
      <c r="AO304">
        <f t="shared" si="411"/>
        <v>880</v>
      </c>
      <c r="AP304">
        <f t="shared" si="412"/>
        <v>350</v>
      </c>
      <c r="AR304" s="6">
        <f t="shared" si="382"/>
        <v>2.8571428571428572</v>
      </c>
      <c r="AS304" s="6">
        <f t="shared" si="361"/>
        <v>0.65986109649430513</v>
      </c>
      <c r="AT304" s="6">
        <f t="shared" si="362"/>
        <v>2.197281760648552</v>
      </c>
      <c r="AU304" s="179">
        <f t="shared" si="363"/>
        <v>0.23095138377300678</v>
      </c>
      <c r="CD304" s="581">
        <f t="shared" si="413"/>
        <v>-50</v>
      </c>
    </row>
    <row r="305" spans="5:82" x14ac:dyDescent="0.2">
      <c r="E305" s="176">
        <v>89</v>
      </c>
      <c r="F305" s="223">
        <f t="shared" si="414"/>
        <v>0.89</v>
      </c>
      <c r="G305" s="223">
        <f t="shared" si="383"/>
        <v>0.44500000000000001</v>
      </c>
      <c r="H305" s="223">
        <f t="shared" si="384"/>
        <v>4.45</v>
      </c>
      <c r="I305" s="223">
        <f t="shared" si="385"/>
        <v>1.4684999999999999</v>
      </c>
      <c r="J305" s="559">
        <f t="shared" si="386"/>
        <v>48</v>
      </c>
      <c r="K305" s="454">
        <f t="shared" si="387"/>
        <v>15.899999999999999</v>
      </c>
      <c r="L305" s="454">
        <f t="shared" si="388"/>
        <v>63.9</v>
      </c>
      <c r="M305" s="454"/>
      <c r="N305" s="223">
        <f t="shared" si="389"/>
        <v>0.24882629107981219</v>
      </c>
      <c r="O305" s="178">
        <f t="shared" si="390"/>
        <v>6.0616329556285065</v>
      </c>
      <c r="P305" s="178">
        <f t="shared" si="391"/>
        <v>2.6604507042253513</v>
      </c>
      <c r="Q305" s="223">
        <f t="shared" si="392"/>
        <v>1.2123265911257013</v>
      </c>
      <c r="R305" s="223">
        <f t="shared" si="393"/>
        <v>1.8368584714025777</v>
      </c>
      <c r="S305" s="223">
        <f t="shared" si="394"/>
        <v>5</v>
      </c>
      <c r="T305" s="223">
        <f t="shared" si="395"/>
        <v>1.1011884171907758</v>
      </c>
      <c r="U305" s="223">
        <f t="shared" si="396"/>
        <v>0.68824276074423496</v>
      </c>
      <c r="V305" s="223">
        <f t="shared" si="397"/>
        <v>2.0777139946995775</v>
      </c>
      <c r="W305" s="203">
        <f t="shared" si="398"/>
        <v>350</v>
      </c>
      <c r="X305" s="454">
        <f t="shared" si="399"/>
        <v>350</v>
      </c>
      <c r="Z305" s="223">
        <f t="shared" si="400"/>
        <v>1.1374916163648559</v>
      </c>
      <c r="AA305" s="179">
        <f t="shared" si="401"/>
        <v>2.1462105969148224</v>
      </c>
      <c r="AB305" s="179">
        <f t="shared" si="402"/>
        <v>0.96366969510948308</v>
      </c>
      <c r="AC305" s="179"/>
      <c r="AD305" s="179">
        <f t="shared" si="403"/>
        <v>0.5660377358490567</v>
      </c>
      <c r="AE305" s="563">
        <f t="shared" si="404"/>
        <v>3494.0740740740739</v>
      </c>
      <c r="AF305" s="546">
        <f t="shared" si="405"/>
        <v>8.9150943396226423E-2</v>
      </c>
      <c r="AH305" s="179">
        <f t="shared" si="406"/>
        <v>1.0617595459110944</v>
      </c>
      <c r="AI305" s="179">
        <f t="shared" si="407"/>
        <v>1.0617595459110944</v>
      </c>
      <c r="AJ305" s="179">
        <f t="shared" si="408"/>
        <v>1.7642663303045143</v>
      </c>
      <c r="AL305" s="563">
        <f t="shared" si="409"/>
        <v>890</v>
      </c>
      <c r="AM305" s="472">
        <f t="shared" si="410"/>
        <v>350</v>
      </c>
      <c r="AO305">
        <f t="shared" si="411"/>
        <v>890</v>
      </c>
      <c r="AP305">
        <f t="shared" si="412"/>
        <v>350</v>
      </c>
      <c r="AR305" s="6">
        <f t="shared" si="382"/>
        <v>2.8571428571428572</v>
      </c>
      <c r="AS305" s="6">
        <f t="shared" si="361"/>
        <v>0.66359971619443403</v>
      </c>
      <c r="AT305" s="6">
        <f t="shared" si="362"/>
        <v>2.1935431409484232</v>
      </c>
      <c r="AU305" s="179">
        <f t="shared" si="363"/>
        <v>0.23225990066805191</v>
      </c>
      <c r="CD305" s="581">
        <f t="shared" si="413"/>
        <v>-50</v>
      </c>
    </row>
    <row r="306" spans="5:82" x14ac:dyDescent="0.2">
      <c r="E306" s="176">
        <v>90</v>
      </c>
      <c r="F306" s="223">
        <f t="shared" si="414"/>
        <v>0.9</v>
      </c>
      <c r="G306" s="223">
        <f t="shared" si="383"/>
        <v>0.45</v>
      </c>
      <c r="H306" s="223">
        <f t="shared" si="384"/>
        <v>4.5</v>
      </c>
      <c r="I306" s="223">
        <f t="shared" si="385"/>
        <v>1.4849999999999999</v>
      </c>
      <c r="J306" s="559">
        <f t="shared" si="386"/>
        <v>48</v>
      </c>
      <c r="K306" s="454">
        <f t="shared" si="387"/>
        <v>15.899999999999999</v>
      </c>
      <c r="L306" s="454">
        <f t="shared" si="388"/>
        <v>63.9</v>
      </c>
      <c r="M306" s="454"/>
      <c r="N306" s="223">
        <f t="shared" si="389"/>
        <v>0.24882629107981219</v>
      </c>
      <c r="O306" s="178">
        <f t="shared" si="390"/>
        <v>6.0616329556285065</v>
      </c>
      <c r="P306" s="178">
        <f t="shared" si="391"/>
        <v>2.6604507042253513</v>
      </c>
      <c r="Q306" s="223">
        <f t="shared" si="392"/>
        <v>1.2123265911257013</v>
      </c>
      <c r="R306" s="223">
        <f t="shared" si="393"/>
        <v>1.8368584714025777</v>
      </c>
      <c r="S306" s="223">
        <f t="shared" si="394"/>
        <v>5</v>
      </c>
      <c r="T306" s="223">
        <f t="shared" si="395"/>
        <v>1.1135613207547168</v>
      </c>
      <c r="U306" s="223">
        <f t="shared" si="396"/>
        <v>0.69597582547169801</v>
      </c>
      <c r="V306" s="223">
        <f t="shared" si="397"/>
        <v>2.1010590957636168</v>
      </c>
      <c r="W306" s="203">
        <f t="shared" si="398"/>
        <v>350</v>
      </c>
      <c r="X306" s="454">
        <f t="shared" si="399"/>
        <v>350</v>
      </c>
      <c r="Z306" s="223">
        <f t="shared" si="400"/>
        <v>1.1374916163648559</v>
      </c>
      <c r="AA306" s="179">
        <f t="shared" si="401"/>
        <v>2.1462105969148224</v>
      </c>
      <c r="AB306" s="179">
        <f t="shared" si="402"/>
        <v>0.96366969510948308</v>
      </c>
      <c r="AC306" s="179"/>
      <c r="AD306" s="179">
        <f t="shared" si="403"/>
        <v>0.5660377358490567</v>
      </c>
      <c r="AE306" s="563">
        <f t="shared" si="404"/>
        <v>3533.333333333333</v>
      </c>
      <c r="AF306" s="546">
        <f t="shared" si="405"/>
        <v>8.9150943396226423E-2</v>
      </c>
      <c r="AH306" s="179">
        <f t="shared" si="406"/>
        <v>1.0677078252031311</v>
      </c>
      <c r="AI306" s="179">
        <f t="shared" si="407"/>
        <v>1.0677078252031311</v>
      </c>
      <c r="AJ306" s="179">
        <f t="shared" si="408"/>
        <v>1.7686724631134303</v>
      </c>
      <c r="AL306" s="563">
        <f t="shared" si="409"/>
        <v>900</v>
      </c>
      <c r="AM306" s="472">
        <f t="shared" si="410"/>
        <v>350</v>
      </c>
      <c r="AO306">
        <f t="shared" si="411"/>
        <v>900</v>
      </c>
      <c r="AP306">
        <f t="shared" si="412"/>
        <v>350</v>
      </c>
      <c r="AR306" s="6">
        <f t="shared" si="382"/>
        <v>2.8571428571428572</v>
      </c>
      <c r="AS306" s="6">
        <f t="shared" si="361"/>
        <v>0.66731739075195706</v>
      </c>
      <c r="AT306" s="6">
        <f t="shared" si="362"/>
        <v>2.1898254663909</v>
      </c>
      <c r="AU306" s="179">
        <f t="shared" si="363"/>
        <v>0.23356108676318496</v>
      </c>
      <c r="CD306" s="581">
        <f t="shared" si="413"/>
        <v>-50</v>
      </c>
    </row>
    <row r="307" spans="5:82" x14ac:dyDescent="0.2">
      <c r="E307" s="176">
        <v>91</v>
      </c>
      <c r="F307" s="223">
        <f t="shared" si="414"/>
        <v>0.91</v>
      </c>
      <c r="G307" s="223">
        <f t="shared" si="383"/>
        <v>0.45500000000000002</v>
      </c>
      <c r="H307" s="223">
        <f t="shared" si="384"/>
        <v>4.55</v>
      </c>
      <c r="I307" s="223">
        <f t="shared" si="385"/>
        <v>1.5015000000000001</v>
      </c>
      <c r="J307" s="559">
        <f t="shared" si="386"/>
        <v>48</v>
      </c>
      <c r="K307" s="454">
        <f t="shared" si="387"/>
        <v>15.899999999999999</v>
      </c>
      <c r="L307" s="454">
        <f t="shared" si="388"/>
        <v>63.9</v>
      </c>
      <c r="M307" s="454"/>
      <c r="N307" s="223">
        <f t="shared" si="389"/>
        <v>0.24882629107981219</v>
      </c>
      <c r="O307" s="178">
        <f t="shared" si="390"/>
        <v>6.0616329556285065</v>
      </c>
      <c r="P307" s="178">
        <f t="shared" si="391"/>
        <v>2.6604507042253513</v>
      </c>
      <c r="Q307" s="223">
        <f t="shared" si="392"/>
        <v>1.2123265911257013</v>
      </c>
      <c r="R307" s="223">
        <f t="shared" si="393"/>
        <v>1.8368584714025777</v>
      </c>
      <c r="S307" s="223">
        <f t="shared" si="394"/>
        <v>5</v>
      </c>
      <c r="T307" s="223">
        <f t="shared" si="395"/>
        <v>1.1259342243186583</v>
      </c>
      <c r="U307" s="223">
        <f t="shared" si="396"/>
        <v>0.7037088901991615</v>
      </c>
      <c r="V307" s="223">
        <f t="shared" si="397"/>
        <v>2.1244041968276575</v>
      </c>
      <c r="W307" s="203">
        <f t="shared" si="398"/>
        <v>350</v>
      </c>
      <c r="X307" s="454">
        <f t="shared" si="399"/>
        <v>350</v>
      </c>
      <c r="Z307" s="223">
        <f t="shared" si="400"/>
        <v>1.1374916163648559</v>
      </c>
      <c r="AA307" s="179">
        <f t="shared" si="401"/>
        <v>2.1462105969148224</v>
      </c>
      <c r="AB307" s="179">
        <f t="shared" si="402"/>
        <v>0.96366969510948308</v>
      </c>
      <c r="AC307" s="179"/>
      <c r="AD307" s="179">
        <f t="shared" si="403"/>
        <v>0.5660377358490567</v>
      </c>
      <c r="AE307" s="563">
        <f t="shared" si="404"/>
        <v>3572.5925925925922</v>
      </c>
      <c r="AF307" s="546">
        <f t="shared" si="405"/>
        <v>8.9150943396226423E-2</v>
      </c>
      <c r="AH307" s="179">
        <f t="shared" si="406"/>
        <v>1.0736231492784918</v>
      </c>
      <c r="AI307" s="179">
        <f t="shared" si="407"/>
        <v>1.0736231492784918</v>
      </c>
      <c r="AJ307" s="179">
        <f t="shared" si="408"/>
        <v>1.7730541846507344</v>
      </c>
      <c r="AL307" s="563">
        <f t="shared" si="409"/>
        <v>910</v>
      </c>
      <c r="AM307" s="472">
        <f t="shared" si="410"/>
        <v>350</v>
      </c>
      <c r="AO307">
        <f t="shared" si="411"/>
        <v>910</v>
      </c>
      <c r="AP307">
        <f t="shared" si="412"/>
        <v>350</v>
      </c>
      <c r="AR307" s="6">
        <f t="shared" si="382"/>
        <v>2.8571428571428572</v>
      </c>
      <c r="AS307" s="6">
        <f t="shared" ref="AS307:AS316" si="415">L*AI307/J307*1000000</f>
        <v>0.67101446829905731</v>
      </c>
      <c r="AT307" s="6">
        <f t="shared" ref="AT307:AT316" si="416">AR307-AS307</f>
        <v>2.1861283888437999</v>
      </c>
      <c r="AU307" s="179">
        <f t="shared" ref="AU307:AU316" si="417">AS307/AR307</f>
        <v>0.23485506390467006</v>
      </c>
      <c r="CD307" s="581">
        <f t="shared" si="413"/>
        <v>-50</v>
      </c>
    </row>
    <row r="308" spans="5:82" x14ac:dyDescent="0.2">
      <c r="E308" s="176">
        <v>92</v>
      </c>
      <c r="F308" s="223">
        <f t="shared" si="414"/>
        <v>0.92</v>
      </c>
      <c r="G308" s="223">
        <f t="shared" si="383"/>
        <v>0.46</v>
      </c>
      <c r="H308" s="223">
        <f t="shared" si="384"/>
        <v>4.6000000000000005</v>
      </c>
      <c r="I308" s="223">
        <f t="shared" si="385"/>
        <v>1.518</v>
      </c>
      <c r="J308" s="559">
        <f t="shared" si="386"/>
        <v>48</v>
      </c>
      <c r="K308" s="454">
        <f t="shared" si="387"/>
        <v>15.899999999999999</v>
      </c>
      <c r="L308" s="454">
        <f t="shared" si="388"/>
        <v>63.9</v>
      </c>
      <c r="M308" s="454"/>
      <c r="N308" s="223">
        <f t="shared" si="389"/>
        <v>0.24882629107981219</v>
      </c>
      <c r="O308" s="178">
        <f t="shared" si="390"/>
        <v>6.0616329556285065</v>
      </c>
      <c r="P308" s="178">
        <f t="shared" si="391"/>
        <v>2.6604507042253513</v>
      </c>
      <c r="Q308" s="223">
        <f t="shared" si="392"/>
        <v>1.2123265911257013</v>
      </c>
      <c r="R308" s="223">
        <f t="shared" si="393"/>
        <v>1.8368584714025777</v>
      </c>
      <c r="S308" s="223">
        <f t="shared" si="394"/>
        <v>5</v>
      </c>
      <c r="T308" s="223">
        <f t="shared" si="395"/>
        <v>1.1383071278825996</v>
      </c>
      <c r="U308" s="223">
        <f t="shared" si="396"/>
        <v>0.71144195492662476</v>
      </c>
      <c r="V308" s="223">
        <f t="shared" si="397"/>
        <v>2.1477492978916972</v>
      </c>
      <c r="W308" s="203">
        <f t="shared" si="398"/>
        <v>350</v>
      </c>
      <c r="X308" s="454">
        <f t="shared" si="399"/>
        <v>349.74925130114821</v>
      </c>
      <c r="Z308" s="223">
        <f t="shared" si="400"/>
        <v>1.1374916163648559</v>
      </c>
      <c r="AA308" s="179">
        <f t="shared" si="401"/>
        <v>2.1462105969148224</v>
      </c>
      <c r="AB308" s="179">
        <f t="shared" si="402"/>
        <v>0.96366969510948308</v>
      </c>
      <c r="AC308" s="179"/>
      <c r="AD308" s="179">
        <f t="shared" si="403"/>
        <v>0.5660377358490567</v>
      </c>
      <c r="AE308" s="563">
        <f t="shared" si="404"/>
        <v>3611.8518518518513</v>
      </c>
      <c r="AF308" s="546">
        <f t="shared" si="405"/>
        <v>8.9150943396226423E-2</v>
      </c>
      <c r="AH308" s="179">
        <f t="shared" si="406"/>
        <v>1.0795060598872677</v>
      </c>
      <c r="AI308" s="179">
        <f t="shared" si="407"/>
        <v>1.0795060598872677</v>
      </c>
      <c r="AJ308" s="179">
        <f t="shared" si="408"/>
        <v>1.7774118962127907</v>
      </c>
      <c r="AL308" s="563">
        <f t="shared" si="409"/>
        <v>920</v>
      </c>
      <c r="AM308" s="472">
        <f t="shared" si="410"/>
        <v>349.74925130114821</v>
      </c>
      <c r="AO308">
        <f t="shared" si="411"/>
        <v>920</v>
      </c>
      <c r="AP308">
        <f t="shared" si="412"/>
        <v>349.74925130114821</v>
      </c>
      <c r="AR308" s="6">
        <f t="shared" si="382"/>
        <v>2.8591912528183219</v>
      </c>
      <c r="AS308" s="6">
        <f t="shared" si="415"/>
        <v>0.67469128742954232</v>
      </c>
      <c r="AT308" s="6">
        <f t="shared" si="416"/>
        <v>2.1844999653887793</v>
      </c>
      <c r="AU308" s="179">
        <f t="shared" si="417"/>
        <v>0.23597277263789021</v>
      </c>
      <c r="CD308" s="581">
        <f t="shared" si="413"/>
        <v>-50</v>
      </c>
    </row>
    <row r="309" spans="5:82" x14ac:dyDescent="0.2">
      <c r="E309" s="176">
        <v>93</v>
      </c>
      <c r="F309" s="223">
        <f t="shared" si="414"/>
        <v>0.93</v>
      </c>
      <c r="G309" s="223">
        <f t="shared" si="383"/>
        <v>0.46500000000000002</v>
      </c>
      <c r="H309" s="223">
        <f t="shared" si="384"/>
        <v>4.6500000000000004</v>
      </c>
      <c r="I309" s="223">
        <f t="shared" si="385"/>
        <v>1.5345</v>
      </c>
      <c r="J309" s="559">
        <f t="shared" si="386"/>
        <v>48</v>
      </c>
      <c r="K309" s="454">
        <f t="shared" si="387"/>
        <v>15.899999999999999</v>
      </c>
      <c r="L309" s="454">
        <f t="shared" si="388"/>
        <v>63.9</v>
      </c>
      <c r="M309" s="454"/>
      <c r="N309" s="223">
        <f t="shared" si="389"/>
        <v>0.24882629107981219</v>
      </c>
      <c r="O309" s="178">
        <f t="shared" si="390"/>
        <v>6.0616329556285065</v>
      </c>
      <c r="P309" s="178">
        <f t="shared" si="391"/>
        <v>2.6604507042253513</v>
      </c>
      <c r="Q309" s="223">
        <f t="shared" si="392"/>
        <v>1.2123265911257013</v>
      </c>
      <c r="R309" s="223">
        <f t="shared" si="393"/>
        <v>1.8368584714025777</v>
      </c>
      <c r="S309" s="223">
        <f t="shared" si="394"/>
        <v>5</v>
      </c>
      <c r="T309" s="223">
        <f t="shared" si="395"/>
        <v>1.1506800314465409</v>
      </c>
      <c r="U309" s="223">
        <f t="shared" si="396"/>
        <v>0.71917501965408814</v>
      </c>
      <c r="V309" s="223">
        <f t="shared" si="397"/>
        <v>2.1710943989557379</v>
      </c>
      <c r="W309" s="203">
        <f t="shared" si="398"/>
        <v>350</v>
      </c>
      <c r="X309" s="454">
        <f t="shared" si="399"/>
        <v>345.98850666350137</v>
      </c>
      <c r="Z309" s="223">
        <f t="shared" si="400"/>
        <v>1.1374916163648559</v>
      </c>
      <c r="AA309" s="179">
        <f t="shared" si="401"/>
        <v>2.1462105969148224</v>
      </c>
      <c r="AB309" s="179">
        <f t="shared" si="402"/>
        <v>0.96366969510948308</v>
      </c>
      <c r="AC309" s="179"/>
      <c r="AD309" s="179">
        <f t="shared" si="403"/>
        <v>0.5660377358490567</v>
      </c>
      <c r="AE309" s="563">
        <f t="shared" si="404"/>
        <v>3651.1111111111104</v>
      </c>
      <c r="AF309" s="546">
        <f t="shared" si="405"/>
        <v>8.9150943396226423E-2</v>
      </c>
      <c r="AH309" s="179">
        <f t="shared" si="406"/>
        <v>1.0853570840972109</v>
      </c>
      <c r="AI309" s="179">
        <f t="shared" si="407"/>
        <v>1.0853570840972109</v>
      </c>
      <c r="AJ309" s="179">
        <f t="shared" si="408"/>
        <v>1.7817459882201561</v>
      </c>
      <c r="AL309" s="563">
        <f t="shared" si="409"/>
        <v>930</v>
      </c>
      <c r="AM309" s="472">
        <f t="shared" si="410"/>
        <v>345.98850666350137</v>
      </c>
      <c r="AO309">
        <f t="shared" si="411"/>
        <v>930</v>
      </c>
      <c r="AP309">
        <f t="shared" si="412"/>
        <v>345.98850666350137</v>
      </c>
      <c r="AR309" s="6">
        <f t="shared" si="382"/>
        <v>2.8902694186098259</v>
      </c>
      <c r="AS309" s="6">
        <f t="shared" si="415"/>
        <v>0.67834817756075672</v>
      </c>
      <c r="AT309" s="6">
        <f t="shared" si="416"/>
        <v>2.211921241049069</v>
      </c>
      <c r="AU309" s="179">
        <f t="shared" si="417"/>
        <v>0.23470067295215388</v>
      </c>
      <c r="CD309" s="581">
        <f t="shared" si="413"/>
        <v>-50</v>
      </c>
    </row>
    <row r="310" spans="5:82" x14ac:dyDescent="0.2">
      <c r="E310" s="176">
        <v>94</v>
      </c>
      <c r="F310" s="223">
        <f t="shared" si="414"/>
        <v>0.94</v>
      </c>
      <c r="G310" s="223">
        <f t="shared" si="383"/>
        <v>0.47</v>
      </c>
      <c r="H310" s="223">
        <f t="shared" si="384"/>
        <v>4.6999999999999993</v>
      </c>
      <c r="I310" s="223">
        <f t="shared" si="385"/>
        <v>1.5509999999999999</v>
      </c>
      <c r="J310" s="559">
        <f t="shared" si="386"/>
        <v>48</v>
      </c>
      <c r="K310" s="454">
        <f t="shared" si="387"/>
        <v>15.899999999999999</v>
      </c>
      <c r="L310" s="454">
        <f t="shared" si="388"/>
        <v>63.9</v>
      </c>
      <c r="M310" s="454"/>
      <c r="N310" s="223">
        <f t="shared" si="389"/>
        <v>0.24882629107981219</v>
      </c>
      <c r="O310" s="178">
        <f t="shared" si="390"/>
        <v>6.0616329556285065</v>
      </c>
      <c r="P310" s="178">
        <f t="shared" si="391"/>
        <v>2.6604507042253513</v>
      </c>
      <c r="Q310" s="223">
        <f t="shared" si="392"/>
        <v>1.2123265911257013</v>
      </c>
      <c r="R310" s="223">
        <f t="shared" si="393"/>
        <v>1.8368584714025777</v>
      </c>
      <c r="S310" s="223">
        <f t="shared" si="394"/>
        <v>5</v>
      </c>
      <c r="T310" s="223">
        <f t="shared" si="395"/>
        <v>1.1630529350104821</v>
      </c>
      <c r="U310" s="223">
        <f t="shared" si="396"/>
        <v>0.72690808438155141</v>
      </c>
      <c r="V310" s="223">
        <f t="shared" si="397"/>
        <v>2.1944395000197781</v>
      </c>
      <c r="W310" s="203">
        <f t="shared" si="398"/>
        <v>350</v>
      </c>
      <c r="X310" s="454">
        <f t="shared" si="399"/>
        <v>342.30777786920879</v>
      </c>
      <c r="Z310" s="223">
        <f t="shared" si="400"/>
        <v>1.1374916163648559</v>
      </c>
      <c r="AA310" s="179">
        <f t="shared" si="401"/>
        <v>2.1462105969148224</v>
      </c>
      <c r="AB310" s="179">
        <f t="shared" si="402"/>
        <v>0.96366969510948308</v>
      </c>
      <c r="AC310" s="179"/>
      <c r="AD310" s="179">
        <f t="shared" si="403"/>
        <v>0.5660377358490567</v>
      </c>
      <c r="AE310" s="563">
        <f t="shared" si="404"/>
        <v>3690.3703703703695</v>
      </c>
      <c r="AF310" s="546">
        <f t="shared" si="405"/>
        <v>8.9150943396226423E-2</v>
      </c>
      <c r="AH310" s="179">
        <f t="shared" si="406"/>
        <v>1.0911767348448493</v>
      </c>
      <c r="AI310" s="179">
        <f t="shared" si="407"/>
        <v>1.0911767348448493</v>
      </c>
      <c r="AJ310" s="179">
        <f t="shared" si="408"/>
        <v>1.7860568406258142</v>
      </c>
      <c r="AL310" s="563">
        <f t="shared" si="409"/>
        <v>940</v>
      </c>
      <c r="AM310" s="472">
        <f t="shared" si="410"/>
        <v>342.30777786920879</v>
      </c>
      <c r="AO310">
        <f t="shared" si="411"/>
        <v>940</v>
      </c>
      <c r="AP310">
        <f t="shared" si="412"/>
        <v>342.30777786920879</v>
      </c>
      <c r="AR310" s="6">
        <f t="shared" si="382"/>
        <v>2.9213475844013299</v>
      </c>
      <c r="AS310" s="6">
        <f t="shared" si="415"/>
        <v>0.68198545927803078</v>
      </c>
      <c r="AT310" s="6">
        <f t="shared" si="416"/>
        <v>2.2393621251232991</v>
      </c>
      <c r="AU310" s="179">
        <f t="shared" si="417"/>
        <v>0.23344892710457446</v>
      </c>
      <c r="CD310" s="581">
        <f t="shared" si="413"/>
        <v>-50</v>
      </c>
    </row>
    <row r="311" spans="5:82" x14ac:dyDescent="0.2">
      <c r="E311" s="176">
        <v>95</v>
      </c>
      <c r="F311" s="223">
        <f t="shared" si="414"/>
        <v>0.95</v>
      </c>
      <c r="G311" s="223">
        <f t="shared" si="383"/>
        <v>0.47499999999999998</v>
      </c>
      <c r="H311" s="223">
        <f t="shared" si="384"/>
        <v>4.75</v>
      </c>
      <c r="I311" s="223">
        <f t="shared" si="385"/>
        <v>1.5674999999999999</v>
      </c>
      <c r="J311" s="559">
        <f t="shared" si="386"/>
        <v>48</v>
      </c>
      <c r="K311" s="454">
        <f t="shared" si="387"/>
        <v>15.899999999999999</v>
      </c>
      <c r="L311" s="454">
        <f t="shared" si="388"/>
        <v>63.9</v>
      </c>
      <c r="M311" s="454"/>
      <c r="N311" s="223">
        <f t="shared" si="389"/>
        <v>0.24882629107981219</v>
      </c>
      <c r="O311" s="178">
        <f t="shared" si="390"/>
        <v>6.0616329556285065</v>
      </c>
      <c r="P311" s="178">
        <f t="shared" si="391"/>
        <v>2.6604507042253513</v>
      </c>
      <c r="Q311" s="223">
        <f t="shared" si="392"/>
        <v>1.2123265911257013</v>
      </c>
      <c r="R311" s="223">
        <f t="shared" si="393"/>
        <v>1.8368584714025777</v>
      </c>
      <c r="S311" s="223">
        <f t="shared" si="394"/>
        <v>5</v>
      </c>
      <c r="T311" s="223">
        <f t="shared" si="395"/>
        <v>1.1754258385744234</v>
      </c>
      <c r="U311" s="223">
        <f t="shared" si="396"/>
        <v>0.73464114910901468</v>
      </c>
      <c r="V311" s="223">
        <f t="shared" si="397"/>
        <v>2.2177846010838178</v>
      </c>
      <c r="W311" s="203">
        <f t="shared" si="398"/>
        <v>350</v>
      </c>
      <c r="X311" s="454">
        <f t="shared" si="399"/>
        <v>338.70453810216458</v>
      </c>
      <c r="Z311" s="223">
        <f t="shared" si="400"/>
        <v>1.1374916163648559</v>
      </c>
      <c r="AA311" s="179">
        <f t="shared" si="401"/>
        <v>2.1462105969148224</v>
      </c>
      <c r="AB311" s="179">
        <f t="shared" si="402"/>
        <v>0.96366969510948308</v>
      </c>
      <c r="AC311" s="179"/>
      <c r="AD311" s="179">
        <f t="shared" si="403"/>
        <v>0.5660377358490567</v>
      </c>
      <c r="AE311" s="563">
        <f t="shared" si="404"/>
        <v>3729.6296296296287</v>
      </c>
      <c r="AF311" s="546">
        <f t="shared" si="405"/>
        <v>8.9150943396226423E-2</v>
      </c>
      <c r="AH311" s="179">
        <f t="shared" si="406"/>
        <v>1.096965511460289</v>
      </c>
      <c r="AI311" s="179">
        <f t="shared" si="407"/>
        <v>1.096965511460289</v>
      </c>
      <c r="AJ311" s="179">
        <f t="shared" si="408"/>
        <v>1.7903448233039176</v>
      </c>
      <c r="AL311" s="563">
        <f t="shared" si="409"/>
        <v>950</v>
      </c>
      <c r="AM311" s="472">
        <f t="shared" si="410"/>
        <v>338.70453810216458</v>
      </c>
      <c r="AO311">
        <f t="shared" si="411"/>
        <v>950</v>
      </c>
      <c r="AP311">
        <f t="shared" si="412"/>
        <v>338.70453810216458</v>
      </c>
      <c r="AR311" s="6">
        <f t="shared" si="382"/>
        <v>2.9524257501928322</v>
      </c>
      <c r="AS311" s="6">
        <f t="shared" si="415"/>
        <v>0.68560344466268064</v>
      </c>
      <c r="AT311" s="6">
        <f t="shared" si="416"/>
        <v>2.2668223055301517</v>
      </c>
      <c r="AU311" s="179">
        <f t="shared" si="417"/>
        <v>0.23221699804572621</v>
      </c>
      <c r="CD311" s="581">
        <f t="shared" si="413"/>
        <v>-50</v>
      </c>
    </row>
    <row r="312" spans="5:82" x14ac:dyDescent="0.2">
      <c r="E312" s="176">
        <v>96</v>
      </c>
      <c r="F312" s="223">
        <f t="shared" si="414"/>
        <v>0.96</v>
      </c>
      <c r="G312" s="223">
        <f t="shared" si="383"/>
        <v>0.48</v>
      </c>
      <c r="H312" s="223">
        <f t="shared" si="384"/>
        <v>4.8</v>
      </c>
      <c r="I312" s="223">
        <f t="shared" si="385"/>
        <v>1.5839999999999999</v>
      </c>
      <c r="J312" s="559">
        <f t="shared" si="386"/>
        <v>48</v>
      </c>
      <c r="K312" s="454">
        <f t="shared" si="387"/>
        <v>15.899999999999999</v>
      </c>
      <c r="L312" s="454">
        <f t="shared" si="388"/>
        <v>63.9</v>
      </c>
      <c r="M312" s="454"/>
      <c r="N312" s="223">
        <f t="shared" si="389"/>
        <v>0.24882629107981219</v>
      </c>
      <c r="O312" s="178">
        <f t="shared" ref="O312:O316" si="418">N312*J312*Isw_max*0.5*Efficiency*Pout/(Pout+Pout2)</f>
        <v>6.0616329556285065</v>
      </c>
      <c r="P312" s="178">
        <f t="shared" si="391"/>
        <v>2.6604507042253513</v>
      </c>
      <c r="Q312" s="223">
        <f t="shared" si="392"/>
        <v>1.2123265911257013</v>
      </c>
      <c r="R312" s="223">
        <f t="shared" si="393"/>
        <v>1.8368584714025777</v>
      </c>
      <c r="S312" s="223">
        <f t="shared" si="394"/>
        <v>5</v>
      </c>
      <c r="T312" s="223">
        <f t="shared" si="395"/>
        <v>1.1877987421383647</v>
      </c>
      <c r="U312" s="223">
        <f t="shared" si="396"/>
        <v>0.74237421383647784</v>
      </c>
      <c r="V312" s="223">
        <f t="shared" si="397"/>
        <v>2.241129702147858</v>
      </c>
      <c r="W312" s="203">
        <f t="shared" si="398"/>
        <v>350</v>
      </c>
      <c r="X312" s="454">
        <f t="shared" si="399"/>
        <v>335.17636583026706</v>
      </c>
      <c r="Z312" s="223">
        <f t="shared" si="400"/>
        <v>1.1374916163648559</v>
      </c>
      <c r="AA312" s="179">
        <f t="shared" si="401"/>
        <v>2.1462105969148224</v>
      </c>
      <c r="AB312" s="179">
        <f t="shared" ref="AB312:AB316" si="419">0.5*AA312*Z312*Nps*W312/1000*(Pout/(Pout+Pout2))</f>
        <v>0.96366969510948308</v>
      </c>
      <c r="AC312" s="179"/>
      <c r="AD312" s="179">
        <f t="shared" si="403"/>
        <v>0.5660377358490567</v>
      </c>
      <c r="AE312" s="563">
        <f t="shared" ref="AE312:AE316" si="420">MAX(10, F312/(0.5*AD312/1000000*Isw_min*Nps)/1000*Pout_total/Pout)</f>
        <v>3768.8888888888882</v>
      </c>
      <c r="AF312" s="546">
        <f t="shared" si="405"/>
        <v>8.9150943396226423E-2</v>
      </c>
      <c r="AH312" s="179">
        <f t="shared" si="406"/>
        <v>1.1027239001672178</v>
      </c>
      <c r="AI312" s="179">
        <f t="shared" ref="AI312:AI316" si="421">MAX(IF(F312&gt;AB312,T312,AH312),Isw_min)</f>
        <v>1.1027239001672178</v>
      </c>
      <c r="AJ312" s="179">
        <f t="shared" ref="AJ312:AJ316" si="422">IF(F312&gt;AF312, (AI312-Isw_min)/1.08*0.8+1.2, AE312*0.2/350+1)</f>
        <v>1.7946102964201613</v>
      </c>
      <c r="AL312" s="563">
        <f t="shared" si="409"/>
        <v>960</v>
      </c>
      <c r="AM312" s="472">
        <f t="shared" si="410"/>
        <v>335.17636583026706</v>
      </c>
      <c r="AO312">
        <f t="shared" si="411"/>
        <v>960</v>
      </c>
      <c r="AP312">
        <f t="shared" si="412"/>
        <v>335.17636583026706</v>
      </c>
      <c r="AR312" s="6">
        <f t="shared" si="382"/>
        <v>2.9835039159843353</v>
      </c>
      <c r="AS312" s="6">
        <f t="shared" si="415"/>
        <v>0.68920243760451116</v>
      </c>
      <c r="AT312" s="6">
        <f t="shared" si="416"/>
        <v>2.2943014783798241</v>
      </c>
      <c r="AU312" s="179">
        <f t="shared" si="417"/>
        <v>0.23100436835764146</v>
      </c>
      <c r="CD312" s="581">
        <f t="shared" si="413"/>
        <v>-50</v>
      </c>
    </row>
    <row r="313" spans="5:82" x14ac:dyDescent="0.2">
      <c r="E313" s="176">
        <v>97</v>
      </c>
      <c r="F313" s="223">
        <f t="shared" ref="F313:F316" si="423">IF(PLOT_TYPE=1, E313/100*Iout_max, min_I*EXP(O313*rr/100))</f>
        <v>0.97</v>
      </c>
      <c r="G313" s="223">
        <f t="shared" si="383"/>
        <v>0.48499999999999999</v>
      </c>
      <c r="H313" s="223">
        <f t="shared" si="384"/>
        <v>4.8499999999999996</v>
      </c>
      <c r="I313" s="223">
        <f t="shared" si="385"/>
        <v>1.6004999999999998</v>
      </c>
      <c r="J313" s="559">
        <f t="shared" si="386"/>
        <v>48</v>
      </c>
      <c r="K313" s="454">
        <f t="shared" si="387"/>
        <v>15.899999999999999</v>
      </c>
      <c r="L313" s="454">
        <f t="shared" si="388"/>
        <v>63.9</v>
      </c>
      <c r="M313" s="454"/>
      <c r="N313" s="223">
        <f t="shared" si="389"/>
        <v>0.24882629107981219</v>
      </c>
      <c r="O313" s="178">
        <f t="shared" si="418"/>
        <v>6.0616329556285065</v>
      </c>
      <c r="P313" s="178">
        <f t="shared" si="391"/>
        <v>2.6604507042253513</v>
      </c>
      <c r="Q313" s="223">
        <f t="shared" si="392"/>
        <v>1.2123265911257013</v>
      </c>
      <c r="R313" s="223">
        <f t="shared" si="393"/>
        <v>1.8368584714025777</v>
      </c>
      <c r="S313" s="223">
        <f t="shared" si="394"/>
        <v>5</v>
      </c>
      <c r="T313" s="223">
        <f t="shared" si="395"/>
        <v>1.2001716457023062</v>
      </c>
      <c r="U313" s="223">
        <f t="shared" si="396"/>
        <v>0.75010727856394144</v>
      </c>
      <c r="V313" s="223">
        <f t="shared" si="397"/>
        <v>2.2644748032118986</v>
      </c>
      <c r="W313" s="203">
        <f t="shared" si="398"/>
        <v>350</v>
      </c>
      <c r="X313" s="454">
        <f t="shared" si="399"/>
        <v>331.7209393784085</v>
      </c>
      <c r="Z313" s="223">
        <f t="shared" si="400"/>
        <v>1.1374916163648559</v>
      </c>
      <c r="AA313" s="179">
        <f t="shared" si="401"/>
        <v>2.1462105969148224</v>
      </c>
      <c r="AB313" s="179">
        <f t="shared" si="419"/>
        <v>0.96366969510948308</v>
      </c>
      <c r="AC313" s="179"/>
      <c r="AD313" s="179">
        <f t="shared" si="403"/>
        <v>0.5660377358490567</v>
      </c>
      <c r="AE313" s="563">
        <f t="shared" si="420"/>
        <v>3808.1481481481474</v>
      </c>
      <c r="AF313" s="546">
        <f t="shared" si="405"/>
        <v>8.9150943396226423E-2</v>
      </c>
      <c r="AH313" s="179">
        <f t="shared" si="406"/>
        <v>1.1084523745595327</v>
      </c>
      <c r="AI313" s="179">
        <f t="shared" si="421"/>
        <v>1.2001716457023062</v>
      </c>
      <c r="AJ313" s="179">
        <f t="shared" si="422"/>
        <v>1.8667938116313378</v>
      </c>
      <c r="AL313" s="563">
        <f t="shared" si="409"/>
        <v>970</v>
      </c>
      <c r="AM313" s="472">
        <f t="shared" si="410"/>
        <v>331.7209393784085</v>
      </c>
      <c r="AO313">
        <f t="shared" si="411"/>
        <v>970</v>
      </c>
      <c r="AP313">
        <f t="shared" si="412"/>
        <v>331.7209393784085</v>
      </c>
      <c r="AR313" s="6">
        <f t="shared" si="382"/>
        <v>3.0145820817758402</v>
      </c>
      <c r="AS313" s="6">
        <f t="shared" si="415"/>
        <v>0.75010727856394144</v>
      </c>
      <c r="AT313" s="6">
        <f t="shared" si="416"/>
        <v>2.2644748032118986</v>
      </c>
      <c r="AU313" s="179">
        <f t="shared" si="417"/>
        <v>0.24882629107981219</v>
      </c>
      <c r="CD313" s="581">
        <f t="shared" si="413"/>
        <v>-50</v>
      </c>
    </row>
    <row r="314" spans="5:82" x14ac:dyDescent="0.2">
      <c r="E314" s="176">
        <v>98</v>
      </c>
      <c r="F314" s="223">
        <f t="shared" si="423"/>
        <v>0.98</v>
      </c>
      <c r="G314" s="223">
        <f t="shared" si="383"/>
        <v>0.49</v>
      </c>
      <c r="H314" s="223">
        <f t="shared" si="384"/>
        <v>4.9000000000000004</v>
      </c>
      <c r="I314" s="223">
        <f t="shared" si="385"/>
        <v>1.617</v>
      </c>
      <c r="J314" s="559">
        <f t="shared" si="386"/>
        <v>48</v>
      </c>
      <c r="K314" s="454">
        <f t="shared" si="387"/>
        <v>15.899999999999999</v>
      </c>
      <c r="L314" s="454">
        <f t="shared" si="388"/>
        <v>63.9</v>
      </c>
      <c r="M314" s="454"/>
      <c r="N314" s="223">
        <f t="shared" si="389"/>
        <v>0.24882629107981219</v>
      </c>
      <c r="O314" s="178">
        <f t="shared" si="418"/>
        <v>6.0616329556285065</v>
      </c>
      <c r="P314" s="178">
        <f t="shared" si="391"/>
        <v>2.6604507042253513</v>
      </c>
      <c r="Q314" s="223">
        <f t="shared" si="392"/>
        <v>1.2123265911257013</v>
      </c>
      <c r="R314" s="223">
        <f t="shared" si="393"/>
        <v>1.8368584714025777</v>
      </c>
      <c r="S314" s="223">
        <f t="shared" si="394"/>
        <v>5</v>
      </c>
      <c r="T314" s="223">
        <f t="shared" si="395"/>
        <v>1.2125445492662474</v>
      </c>
      <c r="U314" s="223">
        <f t="shared" si="396"/>
        <v>0.75784034329140471</v>
      </c>
      <c r="V314" s="223">
        <f t="shared" si="397"/>
        <v>2.2878199042759388</v>
      </c>
      <c r="W314" s="203">
        <f t="shared" si="398"/>
        <v>350</v>
      </c>
      <c r="X314" s="454">
        <f t="shared" si="399"/>
        <v>328.33603183373089</v>
      </c>
      <c r="Z314" s="223">
        <f t="shared" si="400"/>
        <v>1.1374916163648559</v>
      </c>
      <c r="AA314" s="179">
        <f t="shared" si="401"/>
        <v>2.1462105969148224</v>
      </c>
      <c r="AB314" s="179">
        <f t="shared" si="419"/>
        <v>0.96366969510948308</v>
      </c>
      <c r="AC314" s="179"/>
      <c r="AD314" s="179">
        <f t="shared" si="403"/>
        <v>0.5660377358490567</v>
      </c>
      <c r="AE314" s="563">
        <f t="shared" si="420"/>
        <v>3847.4074074074074</v>
      </c>
      <c r="AF314" s="546">
        <f t="shared" si="405"/>
        <v>8.9150943396226423E-2</v>
      </c>
      <c r="AH314" s="179">
        <f t="shared" si="406"/>
        <v>1.1141513960559102</v>
      </c>
      <c r="AI314" s="179">
        <f t="shared" si="421"/>
        <v>1.2125445492662474</v>
      </c>
      <c r="AJ314" s="179">
        <f t="shared" si="422"/>
        <v>1.8759589253824054</v>
      </c>
      <c r="AL314" s="563">
        <f t="shared" si="409"/>
        <v>980</v>
      </c>
      <c r="AM314" s="472">
        <f t="shared" si="410"/>
        <v>328.33603183373089</v>
      </c>
      <c r="AO314">
        <f t="shared" si="411"/>
        <v>980</v>
      </c>
      <c r="AP314">
        <f t="shared" si="412"/>
        <v>328.33603183373089</v>
      </c>
      <c r="AR314" s="6">
        <f t="shared" si="382"/>
        <v>3.0456602475673438</v>
      </c>
      <c r="AS314" s="6">
        <f t="shared" si="415"/>
        <v>0.75784034329140471</v>
      </c>
      <c r="AT314" s="6">
        <f t="shared" si="416"/>
        <v>2.2878199042759393</v>
      </c>
      <c r="AU314" s="179">
        <f t="shared" si="417"/>
        <v>0.24882629107981219</v>
      </c>
      <c r="CD314" s="581">
        <f t="shared" si="413"/>
        <v>-50</v>
      </c>
    </row>
    <row r="315" spans="5:82" x14ac:dyDescent="0.2">
      <c r="E315" s="176">
        <v>99</v>
      </c>
      <c r="F315" s="223">
        <f t="shared" si="423"/>
        <v>0.99</v>
      </c>
      <c r="G315" s="223">
        <f t="shared" si="383"/>
        <v>0.495</v>
      </c>
      <c r="H315" s="223">
        <f t="shared" si="384"/>
        <v>4.95</v>
      </c>
      <c r="I315" s="223">
        <f t="shared" si="385"/>
        <v>1.6335</v>
      </c>
      <c r="J315" s="559">
        <f t="shared" si="386"/>
        <v>48</v>
      </c>
      <c r="K315" s="454">
        <f t="shared" si="387"/>
        <v>15.899999999999999</v>
      </c>
      <c r="L315" s="454">
        <f t="shared" si="388"/>
        <v>63.9</v>
      </c>
      <c r="M315" s="454"/>
      <c r="N315" s="223">
        <f t="shared" si="389"/>
        <v>0.24882629107981219</v>
      </c>
      <c r="O315" s="178">
        <f t="shared" si="418"/>
        <v>6.0616329556285065</v>
      </c>
      <c r="P315" s="178">
        <f t="shared" si="391"/>
        <v>2.6604507042253513</v>
      </c>
      <c r="Q315" s="223">
        <f t="shared" si="392"/>
        <v>1.2123265911257013</v>
      </c>
      <c r="R315" s="223">
        <f t="shared" si="393"/>
        <v>1.8368584714025777</v>
      </c>
      <c r="S315" s="223">
        <f t="shared" si="394"/>
        <v>5</v>
      </c>
      <c r="T315" s="223">
        <f t="shared" si="395"/>
        <v>1.2249174528301887</v>
      </c>
      <c r="U315" s="223">
        <f t="shared" si="396"/>
        <v>0.76557340801886797</v>
      </c>
      <c r="V315" s="223">
        <f t="shared" si="397"/>
        <v>2.311165005339979</v>
      </c>
      <c r="W315" s="203">
        <f t="shared" si="398"/>
        <v>350</v>
      </c>
      <c r="X315" s="454">
        <f t="shared" si="399"/>
        <v>325.01950625965281</v>
      </c>
      <c r="Z315" s="223">
        <f t="shared" si="400"/>
        <v>1.1374916163648559</v>
      </c>
      <c r="AA315" s="179">
        <f t="shared" si="401"/>
        <v>2.1462105969148224</v>
      </c>
      <c r="AB315" s="179">
        <f t="shared" si="419"/>
        <v>0.96366969510948308</v>
      </c>
      <c r="AC315" s="179"/>
      <c r="AD315" s="179">
        <f t="shared" si="403"/>
        <v>0.5660377358490567</v>
      </c>
      <c r="AE315" s="563">
        <f t="shared" si="420"/>
        <v>3886.6666666666656</v>
      </c>
      <c r="AF315" s="546">
        <f t="shared" si="405"/>
        <v>8.9150943396226423E-2</v>
      </c>
      <c r="AH315" s="179">
        <f t="shared" si="406"/>
        <v>1.1198214143335534</v>
      </c>
      <c r="AI315" s="179">
        <f t="shared" si="421"/>
        <v>1.2249174528301887</v>
      </c>
      <c r="AJ315" s="179">
        <f t="shared" si="422"/>
        <v>1.8851240391334732</v>
      </c>
      <c r="AL315" s="563">
        <f t="shared" si="409"/>
        <v>990</v>
      </c>
      <c r="AM315" s="472">
        <f t="shared" si="410"/>
        <v>325.01950625965281</v>
      </c>
      <c r="AO315">
        <f t="shared" si="411"/>
        <v>990</v>
      </c>
      <c r="AP315">
        <f t="shared" si="412"/>
        <v>325.01950625965281</v>
      </c>
      <c r="AR315" s="6">
        <f t="shared" si="382"/>
        <v>3.0767384133588469</v>
      </c>
      <c r="AS315" s="6">
        <f t="shared" si="415"/>
        <v>0.76557340801886797</v>
      </c>
      <c r="AT315" s="6">
        <f t="shared" si="416"/>
        <v>2.311165005339979</v>
      </c>
      <c r="AU315" s="179">
        <f t="shared" si="417"/>
        <v>0.24882629107981219</v>
      </c>
      <c r="CD315" s="581">
        <f t="shared" si="413"/>
        <v>-50</v>
      </c>
    </row>
    <row r="316" spans="5:82" x14ac:dyDescent="0.2">
      <c r="E316" s="176">
        <v>100</v>
      </c>
      <c r="F316" s="223">
        <f t="shared" si="423"/>
        <v>1</v>
      </c>
      <c r="G316" s="223">
        <f t="shared" si="383"/>
        <v>0.5</v>
      </c>
      <c r="H316" s="223">
        <f t="shared" si="384"/>
        <v>5</v>
      </c>
      <c r="I316" s="223">
        <f t="shared" si="385"/>
        <v>1.65</v>
      </c>
      <c r="J316" s="559">
        <f t="shared" si="386"/>
        <v>48</v>
      </c>
      <c r="K316" s="454">
        <f t="shared" si="387"/>
        <v>15.899999999999999</v>
      </c>
      <c r="L316" s="454">
        <f t="shared" si="388"/>
        <v>63.9</v>
      </c>
      <c r="M316" s="454"/>
      <c r="N316" s="223">
        <f t="shared" si="389"/>
        <v>0.24882629107981219</v>
      </c>
      <c r="O316" s="178">
        <f t="shared" si="418"/>
        <v>6.0616329556285065</v>
      </c>
      <c r="P316" s="178">
        <f t="shared" si="391"/>
        <v>2.6604507042253513</v>
      </c>
      <c r="Q316" s="223">
        <f t="shared" si="392"/>
        <v>1.2123265911257013</v>
      </c>
      <c r="R316" s="223">
        <f t="shared" si="393"/>
        <v>1.8368584714025777</v>
      </c>
      <c r="S316" s="223">
        <f t="shared" si="394"/>
        <v>5</v>
      </c>
      <c r="T316" s="223">
        <f t="shared" si="395"/>
        <v>1.23729035639413</v>
      </c>
      <c r="U316" s="223">
        <f t="shared" si="396"/>
        <v>0.77330647274633124</v>
      </c>
      <c r="V316" s="223">
        <f t="shared" si="397"/>
        <v>2.3345101064040188</v>
      </c>
      <c r="W316" s="203">
        <f t="shared" si="398"/>
        <v>350</v>
      </c>
      <c r="X316" s="454">
        <f t="shared" si="399"/>
        <v>321.76931119705631</v>
      </c>
      <c r="Z316" s="223">
        <f t="shared" si="400"/>
        <v>1.1374916163648559</v>
      </c>
      <c r="AA316" s="179">
        <f t="shared" si="401"/>
        <v>2.1462105969148224</v>
      </c>
      <c r="AB316" s="179">
        <f t="shared" si="419"/>
        <v>0.96366969510948308</v>
      </c>
      <c r="AC316" s="179"/>
      <c r="AD316" s="179">
        <f t="shared" si="403"/>
        <v>0.5660377358490567</v>
      </c>
      <c r="AE316" s="563">
        <f t="shared" si="420"/>
        <v>3925.9259259259256</v>
      </c>
      <c r="AF316" s="546">
        <f t="shared" si="405"/>
        <v>8.9150943396226423E-2</v>
      </c>
      <c r="AH316" s="179">
        <f t="shared" si="406"/>
        <v>1.1254628677422756</v>
      </c>
      <c r="AI316" s="179">
        <f t="shared" si="421"/>
        <v>1.23729035639413</v>
      </c>
      <c r="AJ316" s="179">
        <f t="shared" si="422"/>
        <v>1.8942891528845407</v>
      </c>
      <c r="AL316" s="563">
        <f t="shared" si="409"/>
        <v>1000</v>
      </c>
      <c r="AM316" s="472">
        <f t="shared" si="410"/>
        <v>321.76931119705631</v>
      </c>
      <c r="AO316">
        <f t="shared" si="411"/>
        <v>1000</v>
      </c>
      <c r="AP316">
        <f t="shared" si="412"/>
        <v>321.76931119705631</v>
      </c>
      <c r="AR316" s="6">
        <f t="shared" si="382"/>
        <v>3.1078165791503505</v>
      </c>
      <c r="AS316" s="6">
        <f t="shared" si="415"/>
        <v>0.77330647274633124</v>
      </c>
      <c r="AT316" s="6">
        <f t="shared" si="416"/>
        <v>2.3345101064040192</v>
      </c>
      <c r="AU316" s="179">
        <f t="shared" si="417"/>
        <v>0.24882629107981216</v>
      </c>
      <c r="CD316" s="581">
        <f t="shared" si="413"/>
        <v>-50</v>
      </c>
    </row>
    <row r="317" spans="5:82" x14ac:dyDescent="0.2">
      <c r="E317" s="176"/>
      <c r="F317" s="223"/>
      <c r="G317" s="223"/>
    </row>
  </sheetData>
  <mergeCells count="1">
    <mergeCell ref="N3:Z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C3:S106"/>
  <sheetViews>
    <sheetView workbookViewId="0">
      <selection activeCell="V6" sqref="V6"/>
    </sheetView>
  </sheetViews>
  <sheetFormatPr defaultRowHeight="12.75" x14ac:dyDescent="0.2"/>
  <cols>
    <col min="3" max="3" width="7.7109375" customWidth="1"/>
    <col min="5" max="5" width="10.28515625" customWidth="1"/>
    <col min="7" max="7" width="10.7109375" customWidth="1"/>
    <col min="8" max="8" width="9.7109375" customWidth="1"/>
    <col min="9" max="9" width="9.5703125" customWidth="1"/>
    <col min="10" max="10" width="8.7109375" customWidth="1"/>
    <col min="11" max="11" width="9.85546875" customWidth="1"/>
    <col min="12" max="12" width="10.7109375" customWidth="1"/>
    <col min="13" max="13" width="15" customWidth="1"/>
    <col min="14" max="14" width="11.42578125" customWidth="1"/>
    <col min="15" max="16" width="11" customWidth="1"/>
    <col min="17" max="17" width="11.140625" customWidth="1"/>
    <col min="18" max="18" width="11.28515625" customWidth="1"/>
    <col min="19" max="19" width="5.140625" customWidth="1"/>
  </cols>
  <sheetData>
    <row r="3" spans="3:19" ht="13.5" thickBot="1" x14ac:dyDescent="0.25"/>
    <row r="4" spans="3:19" x14ac:dyDescent="0.2">
      <c r="C4" s="226" t="s">
        <v>434</v>
      </c>
      <c r="D4" s="227"/>
      <c r="E4" s="228"/>
      <c r="F4" s="691" t="s">
        <v>190</v>
      </c>
      <c r="G4" s="692"/>
      <c r="H4" s="691"/>
      <c r="I4" s="691"/>
      <c r="J4" s="691"/>
      <c r="K4" s="692"/>
      <c r="L4" s="692"/>
      <c r="M4" s="692"/>
      <c r="N4" s="691"/>
      <c r="O4" s="694"/>
      <c r="P4" s="551"/>
      <c r="Q4" s="551"/>
      <c r="R4" s="551"/>
      <c r="S4" s="551"/>
    </row>
    <row r="5" spans="3:19" ht="45" customHeight="1" thickBot="1" x14ac:dyDescent="0.25">
      <c r="C5" s="247" t="s">
        <v>25</v>
      </c>
      <c r="D5" s="248" t="s">
        <v>425</v>
      </c>
      <c r="E5" s="249" t="s">
        <v>431</v>
      </c>
      <c r="F5" s="250" t="s">
        <v>48</v>
      </c>
      <c r="G5" s="545" t="s">
        <v>415</v>
      </c>
      <c r="H5" s="545" t="s">
        <v>416</v>
      </c>
      <c r="I5" s="545" t="s">
        <v>426</v>
      </c>
      <c r="J5" s="545" t="s">
        <v>427</v>
      </c>
      <c r="K5" s="545" t="s">
        <v>428</v>
      </c>
      <c r="L5" s="545" t="s">
        <v>429</v>
      </c>
      <c r="M5" s="252" t="s">
        <v>432</v>
      </c>
      <c r="N5" s="251" t="s">
        <v>433</v>
      </c>
      <c r="O5" s="251" t="s">
        <v>430</v>
      </c>
      <c r="P5" s="251" t="s">
        <v>435</v>
      </c>
      <c r="Q5" s="251" t="s">
        <v>436</v>
      </c>
      <c r="R5" s="251" t="s">
        <v>437</v>
      </c>
      <c r="S5" s="251"/>
    </row>
    <row r="6" spans="3:19" x14ac:dyDescent="0.2">
      <c r="C6" s="176">
        <v>0.1</v>
      </c>
      <c r="D6" s="547">
        <f>VIN_min</f>
        <v>12</v>
      </c>
      <c r="E6" s="454">
        <f t="shared" ref="E6:E37" si="0">(Vout+Vfwd1)*Nps</f>
        <v>15.899999999999999</v>
      </c>
      <c r="F6" s="223">
        <f t="shared" ref="F6:F37" si="1">(Vout+Vfwd1)*Nps/((Vout+Vfwd1)*Nps+D6)</f>
        <v>0.56989247311827951</v>
      </c>
      <c r="G6" s="178">
        <f t="shared" ref="G6:G37" si="2">F6*D6*Isw_max*0.5*Efficiency</f>
        <v>4.6161290322580646</v>
      </c>
      <c r="H6" s="223">
        <f t="shared" ref="H6:H37" si="3">G6/Vout</f>
        <v>0.9232258064516129</v>
      </c>
      <c r="I6" s="454">
        <f t="shared" ref="I6:I37" si="4">(Vout+Vfwd1)*Nps+D6</f>
        <v>27.9</v>
      </c>
      <c r="J6" s="178">
        <f t="shared" ref="J6:J37" si="5">MIN(2*Vout*Iout/(Efficiency*D6*F6), 1.35)</f>
        <v>1.35</v>
      </c>
      <c r="K6" s="178">
        <f t="shared" ref="K6:K37" si="6">L*J6/D6*1000000</f>
        <v>3.3750000000000004</v>
      </c>
      <c r="L6" s="178">
        <f t="shared" ref="L6:L37" si="7">L*J6/((Vout+Vfwd1)*Nps)*1000000</f>
        <v>2.5471698113207553</v>
      </c>
      <c r="M6" s="454">
        <f>MIN(1/(K6+L6)*1000, 350)</f>
        <v>168.85702907208281</v>
      </c>
      <c r="N6" s="203">
        <f t="shared" ref="N6:N37" si="8">IF(1/((350000*L)*(1/D6+1/E6))&gt;Isw_min, 350, 0.001/((Isw_min*L)*(1/D6+1/E6)))</f>
        <v>350</v>
      </c>
      <c r="O6" s="223">
        <f t="shared" ref="O6:O37" si="9">1/((N6*1000*L)*(1/D6+1/E6))</f>
        <v>0.65130568356374818</v>
      </c>
      <c r="P6" s="179">
        <f t="shared" ref="P6:P37" si="10">L*O6/E6*1000000</f>
        <v>1.2288786482334872</v>
      </c>
      <c r="Q6" s="179">
        <f t="shared" ref="Q6:Q37" si="11">0.5*P6*O6*Nps*N6/1000</f>
        <v>0.42019721520241832</v>
      </c>
      <c r="R6" s="179">
        <f t="shared" ref="R6:R37" si="12">L*Isw_min/E6*1000000</f>
        <v>0.5660377358490567</v>
      </c>
    </row>
    <row r="7" spans="3:19" x14ac:dyDescent="0.2">
      <c r="C7" s="176">
        <v>1</v>
      </c>
      <c r="D7" s="6">
        <f t="shared" ref="D7:D38" si="13">C7/100*(VIN_max-VIN_min)+VIN_min</f>
        <v>12.36</v>
      </c>
      <c r="E7" s="454">
        <f t="shared" si="0"/>
        <v>15.899999999999999</v>
      </c>
      <c r="F7" s="223">
        <f t="shared" si="1"/>
        <v>0.56263269639065816</v>
      </c>
      <c r="G7" s="178">
        <f t="shared" si="2"/>
        <v>4.6940445859872604</v>
      </c>
      <c r="H7" s="223">
        <f t="shared" si="3"/>
        <v>0.93880891719745208</v>
      </c>
      <c r="I7" s="454">
        <f t="shared" si="4"/>
        <v>28.259999999999998</v>
      </c>
      <c r="J7" s="178">
        <f t="shared" si="5"/>
        <v>1.35</v>
      </c>
      <c r="K7" s="178">
        <f t="shared" si="6"/>
        <v>3.2766990291262141</v>
      </c>
      <c r="L7" s="178">
        <f t="shared" si="7"/>
        <v>2.5471698113207553</v>
      </c>
      <c r="M7" s="454">
        <f t="shared" ref="M7:M70" si="14">MIN(1/(K7+L7)*1000, 350)</f>
        <v>171.70716363922304</v>
      </c>
      <c r="N7" s="203">
        <f t="shared" si="8"/>
        <v>350</v>
      </c>
      <c r="O7" s="223">
        <f t="shared" si="9"/>
        <v>0.66229905975128889</v>
      </c>
      <c r="P7" s="179">
        <f t="shared" si="10"/>
        <v>1.249620867455262</v>
      </c>
      <c r="Q7" s="179">
        <f t="shared" si="11"/>
        <v>0.43450193091963529</v>
      </c>
      <c r="R7" s="179">
        <f t="shared" si="12"/>
        <v>0.5660377358490567</v>
      </c>
    </row>
    <row r="8" spans="3:19" x14ac:dyDescent="0.2">
      <c r="C8" s="176">
        <v>2</v>
      </c>
      <c r="D8" s="6">
        <f t="shared" si="13"/>
        <v>12.72</v>
      </c>
      <c r="E8" s="454">
        <f t="shared" si="0"/>
        <v>15.899999999999999</v>
      </c>
      <c r="F8" s="223">
        <f t="shared" si="1"/>
        <v>0.55555555555555558</v>
      </c>
      <c r="G8" s="178">
        <f t="shared" si="2"/>
        <v>4.7700000000000005</v>
      </c>
      <c r="H8" s="223">
        <f t="shared" si="3"/>
        <v>0.95400000000000007</v>
      </c>
      <c r="I8" s="454">
        <f t="shared" si="4"/>
        <v>28.619999999999997</v>
      </c>
      <c r="J8" s="178">
        <f t="shared" si="5"/>
        <v>1.35</v>
      </c>
      <c r="K8" s="178">
        <f t="shared" si="6"/>
        <v>3.1839622641509431</v>
      </c>
      <c r="L8" s="178">
        <f t="shared" si="7"/>
        <v>2.5471698113207553</v>
      </c>
      <c r="M8" s="454">
        <f t="shared" si="14"/>
        <v>174.4855967078189</v>
      </c>
      <c r="N8" s="203">
        <f t="shared" si="8"/>
        <v>350</v>
      </c>
      <c r="O8" s="223">
        <f t="shared" si="9"/>
        <v>0.67301587301587296</v>
      </c>
      <c r="P8" s="179">
        <f t="shared" si="10"/>
        <v>1.26984126984127</v>
      </c>
      <c r="Q8" s="179">
        <f t="shared" si="11"/>
        <v>0.44867724867724867</v>
      </c>
      <c r="R8" s="179">
        <f t="shared" si="12"/>
        <v>0.5660377358490567</v>
      </c>
    </row>
    <row r="9" spans="3:19" x14ac:dyDescent="0.2">
      <c r="C9" s="176">
        <v>3</v>
      </c>
      <c r="D9" s="6">
        <f t="shared" si="13"/>
        <v>13.08</v>
      </c>
      <c r="E9" s="454">
        <f t="shared" si="0"/>
        <v>15.899999999999999</v>
      </c>
      <c r="F9" s="223">
        <f t="shared" si="1"/>
        <v>0.54865424430641818</v>
      </c>
      <c r="G9" s="178">
        <f t="shared" si="2"/>
        <v>4.8440683229813661</v>
      </c>
      <c r="H9" s="223">
        <f t="shared" si="3"/>
        <v>0.96881366459627327</v>
      </c>
      <c r="I9" s="454">
        <f t="shared" si="4"/>
        <v>28.979999999999997</v>
      </c>
      <c r="J9" s="178">
        <f t="shared" si="5"/>
        <v>1.35</v>
      </c>
      <c r="K9" s="178">
        <f t="shared" si="6"/>
        <v>3.096330275229358</v>
      </c>
      <c r="L9" s="178">
        <f t="shared" si="7"/>
        <v>2.5471698113207553</v>
      </c>
      <c r="M9" s="454">
        <f t="shared" si="14"/>
        <v>177.19500038340615</v>
      </c>
      <c r="N9" s="203">
        <f t="shared" si="8"/>
        <v>350</v>
      </c>
      <c r="O9" s="223">
        <f t="shared" si="9"/>
        <v>0.68346643005028096</v>
      </c>
      <c r="P9" s="179">
        <f t="shared" si="10"/>
        <v>1.2895593019816622</v>
      </c>
      <c r="Q9" s="179">
        <f t="shared" si="11"/>
        <v>0.46271950854335797</v>
      </c>
      <c r="R9" s="179">
        <f t="shared" si="12"/>
        <v>0.5660377358490567</v>
      </c>
    </row>
    <row r="10" spans="3:19" x14ac:dyDescent="0.2">
      <c r="C10" s="176">
        <v>4</v>
      </c>
      <c r="D10" s="6">
        <f t="shared" si="13"/>
        <v>13.44</v>
      </c>
      <c r="E10" s="454">
        <f t="shared" si="0"/>
        <v>15.899999999999999</v>
      </c>
      <c r="F10" s="223">
        <f t="shared" si="1"/>
        <v>0.54192229038854811</v>
      </c>
      <c r="G10" s="178">
        <f t="shared" si="2"/>
        <v>4.9163190184049084</v>
      </c>
      <c r="H10" s="223">
        <f t="shared" si="3"/>
        <v>0.98326380368098165</v>
      </c>
      <c r="I10" s="454">
        <f t="shared" si="4"/>
        <v>29.339999999999996</v>
      </c>
      <c r="J10" s="178">
        <f t="shared" si="5"/>
        <v>1.35</v>
      </c>
      <c r="K10" s="178">
        <f t="shared" si="6"/>
        <v>3.0133928571428572</v>
      </c>
      <c r="L10" s="178">
        <f t="shared" si="7"/>
        <v>2.5471698113207553</v>
      </c>
      <c r="M10" s="454">
        <f t="shared" si="14"/>
        <v>179.83791562523666</v>
      </c>
      <c r="N10" s="203">
        <f t="shared" si="8"/>
        <v>350</v>
      </c>
      <c r="O10" s="223">
        <f t="shared" si="9"/>
        <v>0.69366053169734143</v>
      </c>
      <c r="P10" s="179">
        <f t="shared" si="10"/>
        <v>1.3087934560327199</v>
      </c>
      <c r="Q10" s="179">
        <f t="shared" si="11"/>
        <v>0.47662564141167019</v>
      </c>
      <c r="R10" s="179">
        <f t="shared" si="12"/>
        <v>0.5660377358490567</v>
      </c>
    </row>
    <row r="11" spans="3:19" x14ac:dyDescent="0.2">
      <c r="C11" s="176">
        <v>5</v>
      </c>
      <c r="D11" s="6">
        <f t="shared" si="13"/>
        <v>13.8</v>
      </c>
      <c r="E11" s="454">
        <f t="shared" si="0"/>
        <v>15.899999999999999</v>
      </c>
      <c r="F11" s="223">
        <f t="shared" si="1"/>
        <v>0.53535353535353536</v>
      </c>
      <c r="G11" s="178">
        <f t="shared" si="2"/>
        <v>4.9868181818181823</v>
      </c>
      <c r="H11" s="223">
        <f t="shared" si="3"/>
        <v>0.99736363636363645</v>
      </c>
      <c r="I11" s="454">
        <f t="shared" si="4"/>
        <v>29.7</v>
      </c>
      <c r="J11" s="178">
        <f t="shared" si="5"/>
        <v>1.35</v>
      </c>
      <c r="K11" s="178">
        <f t="shared" si="6"/>
        <v>2.9347826086956523</v>
      </c>
      <c r="L11" s="178">
        <f t="shared" si="7"/>
        <v>2.5471698113207553</v>
      </c>
      <c r="M11" s="454">
        <f t="shared" si="14"/>
        <v>182.41676019453794</v>
      </c>
      <c r="N11" s="203">
        <f t="shared" si="8"/>
        <v>350</v>
      </c>
      <c r="O11" s="223">
        <f t="shared" si="9"/>
        <v>0.70360750360750357</v>
      </c>
      <c r="P11" s="179">
        <f t="shared" si="10"/>
        <v>1.3275613275613276</v>
      </c>
      <c r="Q11" s="179">
        <f t="shared" si="11"/>
        <v>0.49039310857492674</v>
      </c>
      <c r="R11" s="179">
        <f t="shared" si="12"/>
        <v>0.5660377358490567</v>
      </c>
    </row>
    <row r="12" spans="3:19" x14ac:dyDescent="0.2">
      <c r="C12" s="176">
        <v>6</v>
      </c>
      <c r="D12" s="6">
        <f t="shared" si="13"/>
        <v>14.16</v>
      </c>
      <c r="E12" s="454">
        <f t="shared" si="0"/>
        <v>15.899999999999999</v>
      </c>
      <c r="F12" s="223">
        <f t="shared" si="1"/>
        <v>0.52894211576846306</v>
      </c>
      <c r="G12" s="178">
        <f t="shared" si="2"/>
        <v>5.05562874251497</v>
      </c>
      <c r="H12" s="223">
        <f t="shared" si="3"/>
        <v>1.0111257485029941</v>
      </c>
      <c r="I12" s="454">
        <f t="shared" si="4"/>
        <v>30.06</v>
      </c>
      <c r="J12" s="178">
        <f t="shared" si="5"/>
        <v>1.35</v>
      </c>
      <c r="K12" s="178">
        <f t="shared" si="6"/>
        <v>2.8601694915254239</v>
      </c>
      <c r="L12" s="178">
        <f t="shared" si="7"/>
        <v>2.5471698113207553</v>
      </c>
      <c r="M12" s="454">
        <f t="shared" si="14"/>
        <v>184.9338360316404</v>
      </c>
      <c r="N12" s="203">
        <f t="shared" si="8"/>
        <v>350</v>
      </c>
      <c r="O12" s="223">
        <f t="shared" si="9"/>
        <v>0.71331622469347011</v>
      </c>
      <c r="P12" s="179">
        <f t="shared" si="10"/>
        <v>1.3458796692329626</v>
      </c>
      <c r="Q12" s="179">
        <f t="shared" si="11"/>
        <v>0.50401984738820049</v>
      </c>
      <c r="R12" s="179">
        <f t="shared" si="12"/>
        <v>0.5660377358490567</v>
      </c>
    </row>
    <row r="13" spans="3:19" x14ac:dyDescent="0.2">
      <c r="C13" s="176">
        <v>7</v>
      </c>
      <c r="D13" s="6">
        <f t="shared" si="13"/>
        <v>14.52</v>
      </c>
      <c r="E13" s="454">
        <f t="shared" si="0"/>
        <v>15.899999999999999</v>
      </c>
      <c r="F13" s="223">
        <f t="shared" si="1"/>
        <v>0.52268244575936884</v>
      </c>
      <c r="G13" s="178">
        <f t="shared" si="2"/>
        <v>5.1228106508875735</v>
      </c>
      <c r="H13" s="223">
        <f t="shared" si="3"/>
        <v>1.0245621301775147</v>
      </c>
      <c r="I13" s="454">
        <f t="shared" si="4"/>
        <v>30.419999999999998</v>
      </c>
      <c r="J13" s="178">
        <f t="shared" si="5"/>
        <v>1.35</v>
      </c>
      <c r="K13" s="178">
        <f t="shared" si="6"/>
        <v>2.7892561983471076</v>
      </c>
      <c r="L13" s="178">
        <f t="shared" si="7"/>
        <v>2.5471698113207553</v>
      </c>
      <c r="M13" s="454">
        <f t="shared" si="14"/>
        <v>187.39133610928482</v>
      </c>
      <c r="N13" s="203">
        <f t="shared" si="8"/>
        <v>350</v>
      </c>
      <c r="O13" s="223">
        <f t="shared" si="9"/>
        <v>0.72279515356438417</v>
      </c>
      <c r="P13" s="179">
        <f t="shared" si="10"/>
        <v>1.3637644406875176</v>
      </c>
      <c r="Q13" s="179">
        <f t="shared" si="11"/>
        <v>0.51750422237449978</v>
      </c>
      <c r="R13" s="179">
        <f t="shared" si="12"/>
        <v>0.5660377358490567</v>
      </c>
    </row>
    <row r="14" spans="3:19" s="78" customFormat="1" x14ac:dyDescent="0.2">
      <c r="C14" s="195">
        <v>8</v>
      </c>
      <c r="D14" s="552">
        <f t="shared" si="13"/>
        <v>14.879999999999999</v>
      </c>
      <c r="E14" s="553">
        <f t="shared" si="0"/>
        <v>15.899999999999999</v>
      </c>
      <c r="F14" s="335">
        <f t="shared" si="1"/>
        <v>0.51656920077972712</v>
      </c>
      <c r="G14" s="554">
        <f t="shared" si="2"/>
        <v>5.188421052631579</v>
      </c>
      <c r="H14" s="335">
        <f t="shared" si="3"/>
        <v>1.0376842105263158</v>
      </c>
      <c r="I14" s="553">
        <f t="shared" si="4"/>
        <v>30.779999999999998</v>
      </c>
      <c r="J14" s="178">
        <f t="shared" si="5"/>
        <v>1.35</v>
      </c>
      <c r="K14" s="554">
        <f t="shared" si="6"/>
        <v>2.7217741935483875</v>
      </c>
      <c r="L14" s="554">
        <f t="shared" si="7"/>
        <v>2.5471698113207553</v>
      </c>
      <c r="M14" s="553">
        <f t="shared" si="14"/>
        <v>189.79135080499597</v>
      </c>
      <c r="N14" s="555">
        <f t="shared" si="8"/>
        <v>350</v>
      </c>
      <c r="O14" s="335">
        <f t="shared" si="9"/>
        <v>0.73205235310498473</v>
      </c>
      <c r="P14" s="179">
        <f t="shared" si="10"/>
        <v>1.3812308549150656</v>
      </c>
      <c r="Q14" s="556">
        <f t="shared" si="11"/>
        <v>0.53084498119893631</v>
      </c>
      <c r="R14" s="179">
        <f t="shared" si="12"/>
        <v>0.5660377358490567</v>
      </c>
    </row>
    <row r="15" spans="3:19" x14ac:dyDescent="0.2">
      <c r="C15" s="176">
        <v>9</v>
      </c>
      <c r="D15" s="6">
        <f t="shared" si="13"/>
        <v>15.24</v>
      </c>
      <c r="E15" s="454">
        <f t="shared" si="0"/>
        <v>15.899999999999999</v>
      </c>
      <c r="F15" s="223">
        <f t="shared" si="1"/>
        <v>0.51059730250481694</v>
      </c>
      <c r="G15" s="178">
        <f t="shared" si="2"/>
        <v>5.2525144508670518</v>
      </c>
      <c r="H15" s="223">
        <f t="shared" si="3"/>
        <v>1.0505028901734104</v>
      </c>
      <c r="I15" s="454">
        <f t="shared" si="4"/>
        <v>31.14</v>
      </c>
      <c r="J15" s="178">
        <f t="shared" si="5"/>
        <v>1.35</v>
      </c>
      <c r="K15" s="178">
        <f t="shared" si="6"/>
        <v>2.6574803149606301</v>
      </c>
      <c r="L15" s="178">
        <f t="shared" si="7"/>
        <v>2.5471698113207553</v>
      </c>
      <c r="M15" s="454">
        <f t="shared" si="14"/>
        <v>192.13587383144221</v>
      </c>
      <c r="N15" s="203">
        <f t="shared" si="8"/>
        <v>350</v>
      </c>
      <c r="O15" s="223">
        <f t="shared" si="9"/>
        <v>0.74109551334984858</v>
      </c>
      <c r="P15" s="179">
        <f t="shared" si="10"/>
        <v>1.3982934214148091</v>
      </c>
      <c r="Q15" s="179">
        <f t="shared" si="11"/>
        <v>0.54404121500249014</v>
      </c>
      <c r="R15" s="179">
        <f t="shared" si="12"/>
        <v>0.5660377358490567</v>
      </c>
    </row>
    <row r="16" spans="3:19" x14ac:dyDescent="0.2">
      <c r="C16" s="176">
        <v>10</v>
      </c>
      <c r="D16" s="6">
        <f t="shared" si="13"/>
        <v>15.6</v>
      </c>
      <c r="E16" s="454">
        <f t="shared" si="0"/>
        <v>15.899999999999999</v>
      </c>
      <c r="F16" s="223">
        <f t="shared" si="1"/>
        <v>0.50476190476190474</v>
      </c>
      <c r="G16" s="178">
        <f t="shared" si="2"/>
        <v>5.3151428571428569</v>
      </c>
      <c r="H16" s="223">
        <f t="shared" si="3"/>
        <v>1.0630285714285714</v>
      </c>
      <c r="I16" s="454">
        <f t="shared" si="4"/>
        <v>31.5</v>
      </c>
      <c r="J16" s="178">
        <f t="shared" si="5"/>
        <v>1.35</v>
      </c>
      <c r="K16" s="178">
        <f t="shared" si="6"/>
        <v>2.5961538461538467</v>
      </c>
      <c r="L16" s="178">
        <f t="shared" si="7"/>
        <v>2.5471698113207553</v>
      </c>
      <c r="M16" s="454">
        <f t="shared" si="14"/>
        <v>194.42680776014106</v>
      </c>
      <c r="N16" s="203">
        <f t="shared" si="8"/>
        <v>350</v>
      </c>
      <c r="O16" s="223">
        <f t="shared" si="9"/>
        <v>0.74993197278911561</v>
      </c>
      <c r="P16" s="179">
        <f t="shared" si="10"/>
        <v>1.4149659863945581</v>
      </c>
      <c r="Q16" s="179">
        <f t="shared" si="11"/>
        <v>0.55709232264334307</v>
      </c>
      <c r="R16" s="179">
        <f t="shared" si="12"/>
        <v>0.5660377358490567</v>
      </c>
    </row>
    <row r="17" spans="3:18" x14ac:dyDescent="0.2">
      <c r="C17" s="176">
        <v>11</v>
      </c>
      <c r="D17" s="6">
        <f t="shared" si="13"/>
        <v>15.96</v>
      </c>
      <c r="E17" s="454">
        <f t="shared" si="0"/>
        <v>15.899999999999999</v>
      </c>
      <c r="F17" s="223">
        <f t="shared" si="1"/>
        <v>0.49905838041431261</v>
      </c>
      <c r="G17" s="178">
        <f t="shared" si="2"/>
        <v>5.3763559322033903</v>
      </c>
      <c r="H17" s="223">
        <f t="shared" si="3"/>
        <v>1.0752711864406781</v>
      </c>
      <c r="I17" s="454">
        <f t="shared" si="4"/>
        <v>31.86</v>
      </c>
      <c r="J17" s="178">
        <f t="shared" si="5"/>
        <v>1.35</v>
      </c>
      <c r="K17" s="178">
        <f t="shared" si="6"/>
        <v>2.5375939849624061</v>
      </c>
      <c r="L17" s="178">
        <f t="shared" si="7"/>
        <v>2.5471698113207553</v>
      </c>
      <c r="M17" s="454">
        <f t="shared" si="14"/>
        <v>196.66596917067727</v>
      </c>
      <c r="N17" s="203">
        <f t="shared" si="8"/>
        <v>350</v>
      </c>
      <c r="O17" s="223">
        <f t="shared" si="9"/>
        <v>0.75856873822975524</v>
      </c>
      <c r="P17" s="179">
        <f t="shared" si="10"/>
        <v>1.4312617702448216</v>
      </c>
      <c r="Q17" s="179">
        <f t="shared" si="11"/>
        <v>0.5699979784438276</v>
      </c>
      <c r="R17" s="179">
        <f t="shared" si="12"/>
        <v>0.5660377358490567</v>
      </c>
    </row>
    <row r="18" spans="3:18" x14ac:dyDescent="0.2">
      <c r="C18" s="176">
        <v>12</v>
      </c>
      <c r="D18" s="6">
        <f t="shared" si="13"/>
        <v>16.32</v>
      </c>
      <c r="E18" s="454">
        <f t="shared" si="0"/>
        <v>15.899999999999999</v>
      </c>
      <c r="F18" s="223">
        <f t="shared" si="1"/>
        <v>0.4934823091247672</v>
      </c>
      <c r="G18" s="178">
        <f t="shared" si="2"/>
        <v>5.4362011173184355</v>
      </c>
      <c r="H18" s="223">
        <f t="shared" si="3"/>
        <v>1.0872402234636871</v>
      </c>
      <c r="I18" s="454">
        <f t="shared" si="4"/>
        <v>32.22</v>
      </c>
      <c r="J18" s="178">
        <f t="shared" si="5"/>
        <v>1.35</v>
      </c>
      <c r="K18" s="178">
        <f t="shared" si="6"/>
        <v>2.4816176470588238</v>
      </c>
      <c r="L18" s="178">
        <f t="shared" si="7"/>
        <v>2.5471698113207553</v>
      </c>
      <c r="M18" s="454">
        <f t="shared" si="14"/>
        <v>198.85509345472099</v>
      </c>
      <c r="N18" s="203">
        <f t="shared" si="8"/>
        <v>350</v>
      </c>
      <c r="O18" s="223">
        <f t="shared" si="9"/>
        <v>0.76701250332535265</v>
      </c>
      <c r="P18" s="179">
        <f t="shared" si="10"/>
        <v>1.4471934025006656</v>
      </c>
      <c r="Q18" s="179">
        <f t="shared" si="11"/>
        <v>0.58275810308518439</v>
      </c>
      <c r="R18" s="179">
        <f t="shared" si="12"/>
        <v>0.5660377358490567</v>
      </c>
    </row>
    <row r="19" spans="3:18" x14ac:dyDescent="0.2">
      <c r="C19" s="176">
        <v>13</v>
      </c>
      <c r="D19" s="6">
        <f t="shared" si="13"/>
        <v>16.68</v>
      </c>
      <c r="E19" s="454">
        <f t="shared" si="0"/>
        <v>15.899999999999999</v>
      </c>
      <c r="F19" s="223">
        <f t="shared" si="1"/>
        <v>0.48802946593001839</v>
      </c>
      <c r="G19" s="178">
        <f t="shared" si="2"/>
        <v>5.4947237569060761</v>
      </c>
      <c r="H19" s="223">
        <f t="shared" si="3"/>
        <v>1.0989447513812152</v>
      </c>
      <c r="I19" s="454">
        <f t="shared" si="4"/>
        <v>32.58</v>
      </c>
      <c r="J19" s="178">
        <f t="shared" si="5"/>
        <v>1.35</v>
      </c>
      <c r="K19" s="178">
        <f t="shared" si="6"/>
        <v>2.428057553956835</v>
      </c>
      <c r="L19" s="178">
        <f t="shared" si="7"/>
        <v>2.5471698113207553</v>
      </c>
      <c r="M19" s="454">
        <f t="shared" si="14"/>
        <v>200.9958393015483</v>
      </c>
      <c r="N19" s="203">
        <f t="shared" si="8"/>
        <v>350</v>
      </c>
      <c r="O19" s="223">
        <f t="shared" si="9"/>
        <v>0.77526966587740076</v>
      </c>
      <c r="P19" s="179">
        <f t="shared" si="10"/>
        <v>1.462772954485662</v>
      </c>
      <c r="Q19" s="179">
        <f t="shared" si="11"/>
        <v>0.59537283733126378</v>
      </c>
      <c r="R19" s="179">
        <f t="shared" si="12"/>
        <v>0.5660377358490567</v>
      </c>
    </row>
    <row r="20" spans="3:18" x14ac:dyDescent="0.2">
      <c r="C20" s="176">
        <v>14</v>
      </c>
      <c r="D20" s="6">
        <f t="shared" si="13"/>
        <v>17.04</v>
      </c>
      <c r="E20" s="454">
        <f t="shared" si="0"/>
        <v>15.899999999999999</v>
      </c>
      <c r="F20" s="223">
        <f t="shared" si="1"/>
        <v>0.48269581056466304</v>
      </c>
      <c r="G20" s="178">
        <f t="shared" si="2"/>
        <v>5.5519672131147546</v>
      </c>
      <c r="H20" s="223">
        <f t="shared" si="3"/>
        <v>1.1103934426229509</v>
      </c>
      <c r="I20" s="454">
        <f t="shared" si="4"/>
        <v>32.94</v>
      </c>
      <c r="J20" s="178">
        <f t="shared" si="5"/>
        <v>1.35</v>
      </c>
      <c r="K20" s="178">
        <f t="shared" si="6"/>
        <v>2.376760563380282</v>
      </c>
      <c r="L20" s="178">
        <f t="shared" si="7"/>
        <v>2.5471698113207553</v>
      </c>
      <c r="M20" s="454">
        <f t="shared" si="14"/>
        <v>203.08979288942857</v>
      </c>
      <c r="N20" s="203">
        <f t="shared" si="8"/>
        <v>350</v>
      </c>
      <c r="O20" s="223">
        <f t="shared" si="9"/>
        <v>0.7833463440020817</v>
      </c>
      <c r="P20" s="179">
        <f t="shared" si="10"/>
        <v>1.4780119698152487</v>
      </c>
      <c r="Q20" s="179">
        <f t="shared" si="11"/>
        <v>0.60784251829669744</v>
      </c>
      <c r="R20" s="179">
        <f t="shared" si="12"/>
        <v>0.5660377358490567</v>
      </c>
    </row>
    <row r="21" spans="3:18" x14ac:dyDescent="0.2">
      <c r="C21" s="176">
        <v>15</v>
      </c>
      <c r="D21" s="6">
        <f t="shared" si="13"/>
        <v>17.399999999999999</v>
      </c>
      <c r="E21" s="454">
        <f t="shared" si="0"/>
        <v>15.899999999999999</v>
      </c>
      <c r="F21" s="223">
        <f t="shared" si="1"/>
        <v>0.47747747747747749</v>
      </c>
      <c r="G21" s="178">
        <f t="shared" si="2"/>
        <v>5.6079729729729735</v>
      </c>
      <c r="H21" s="223">
        <f t="shared" si="3"/>
        <v>1.1215945945945947</v>
      </c>
      <c r="I21" s="454">
        <f t="shared" si="4"/>
        <v>33.299999999999997</v>
      </c>
      <c r="J21" s="178">
        <f t="shared" si="5"/>
        <v>1.337381623653582</v>
      </c>
      <c r="K21" s="178">
        <f t="shared" si="6"/>
        <v>2.3058303856096245</v>
      </c>
      <c r="L21" s="178">
        <f t="shared" si="7"/>
        <v>2.5233615540633627</v>
      </c>
      <c r="M21" s="454">
        <f t="shared" si="14"/>
        <v>207.07398100803505</v>
      </c>
      <c r="N21" s="203">
        <f t="shared" si="8"/>
        <v>350</v>
      </c>
      <c r="O21" s="223">
        <f t="shared" si="9"/>
        <v>0.79124839124839119</v>
      </c>
      <c r="P21" s="179">
        <f t="shared" si="10"/>
        <v>1.4929214929214931</v>
      </c>
      <c r="Q21" s="179">
        <f t="shared" si="11"/>
        <v>0.62016765800549578</v>
      </c>
      <c r="R21" s="179">
        <f t="shared" si="12"/>
        <v>0.5660377358490567</v>
      </c>
    </row>
    <row r="22" spans="3:18" s="4" customFormat="1" x14ac:dyDescent="0.2">
      <c r="C22" s="339">
        <v>16</v>
      </c>
      <c r="D22" s="548">
        <f t="shared" si="13"/>
        <v>17.759999999999998</v>
      </c>
      <c r="E22" s="549">
        <f t="shared" si="0"/>
        <v>15.899999999999999</v>
      </c>
      <c r="F22" s="550">
        <f t="shared" si="1"/>
        <v>0.47237076648841353</v>
      </c>
      <c r="G22" s="338">
        <f t="shared" si="2"/>
        <v>5.662780748663101</v>
      </c>
      <c r="H22" s="550">
        <f t="shared" si="3"/>
        <v>1.1325561497326202</v>
      </c>
      <c r="I22" s="549">
        <f t="shared" si="4"/>
        <v>33.659999999999997</v>
      </c>
      <c r="J22" s="178">
        <f t="shared" si="5"/>
        <v>1.3244376451923625</v>
      </c>
      <c r="K22" s="338">
        <f t="shared" si="6"/>
        <v>2.2372257520141261</v>
      </c>
      <c r="L22" s="338">
        <f t="shared" si="7"/>
        <v>2.4989389531931367</v>
      </c>
      <c r="M22" s="549">
        <f t="shared" si="14"/>
        <v>211.14130572793039</v>
      </c>
      <c r="N22" s="341">
        <f t="shared" si="8"/>
        <v>350</v>
      </c>
      <c r="O22" s="550">
        <f t="shared" si="9"/>
        <v>0.79898141074611662</v>
      </c>
      <c r="P22" s="179">
        <f t="shared" si="10"/>
        <v>1.50751209574739</v>
      </c>
      <c r="Q22" s="557">
        <f t="shared" si="11"/>
        <v>0.63234892401296938</v>
      </c>
      <c r="R22" s="179">
        <f t="shared" si="12"/>
        <v>0.5660377358490567</v>
      </c>
    </row>
    <row r="23" spans="3:18" x14ac:dyDescent="0.2">
      <c r="C23" s="176">
        <v>17</v>
      </c>
      <c r="D23" s="6">
        <f t="shared" si="13"/>
        <v>18.12</v>
      </c>
      <c r="E23" s="454">
        <f t="shared" si="0"/>
        <v>15.899999999999999</v>
      </c>
      <c r="F23" s="223">
        <f t="shared" si="1"/>
        <v>0.46737213403880074</v>
      </c>
      <c r="G23" s="178">
        <f t="shared" si="2"/>
        <v>5.7164285714285725</v>
      </c>
      <c r="H23" s="223">
        <f t="shared" si="3"/>
        <v>1.1432857142857145</v>
      </c>
      <c r="I23" s="454">
        <f t="shared" si="4"/>
        <v>34.019999999999996</v>
      </c>
      <c r="J23" s="178">
        <f t="shared" si="5"/>
        <v>1.3120079970011245</v>
      </c>
      <c r="K23" s="178">
        <f t="shared" si="6"/>
        <v>2.1721986705316629</v>
      </c>
      <c r="L23" s="178">
        <f t="shared" si="7"/>
        <v>2.4754867867945749</v>
      </c>
      <c r="M23" s="454">
        <f t="shared" si="14"/>
        <v>215.16085999832029</v>
      </c>
      <c r="N23" s="203">
        <f t="shared" si="8"/>
        <v>350</v>
      </c>
      <c r="O23" s="223">
        <f t="shared" si="9"/>
        <v>0.80655076845553053</v>
      </c>
      <c r="P23" s="179">
        <f t="shared" si="10"/>
        <v>1.5217939027462841</v>
      </c>
      <c r="Q23" s="179">
        <f t="shared" si="11"/>
        <v>0.64438712188775205</v>
      </c>
      <c r="R23" s="179">
        <f t="shared" si="12"/>
        <v>0.5660377358490567</v>
      </c>
    </row>
    <row r="24" spans="3:18" x14ac:dyDescent="0.2">
      <c r="C24" s="176">
        <v>18</v>
      </c>
      <c r="D24" s="6">
        <f t="shared" si="13"/>
        <v>18.48</v>
      </c>
      <c r="E24" s="454">
        <f t="shared" si="0"/>
        <v>15.899999999999999</v>
      </c>
      <c r="F24" s="223">
        <f t="shared" si="1"/>
        <v>0.46247818499127402</v>
      </c>
      <c r="G24" s="178">
        <f t="shared" si="2"/>
        <v>5.7689528795811515</v>
      </c>
      <c r="H24" s="223">
        <f t="shared" si="3"/>
        <v>1.1537905759162304</v>
      </c>
      <c r="I24" s="454">
        <f t="shared" si="4"/>
        <v>34.379999999999995</v>
      </c>
      <c r="J24" s="178">
        <f t="shared" si="5"/>
        <v>1.3000626208173376</v>
      </c>
      <c r="K24" s="178">
        <f t="shared" si="6"/>
        <v>2.1104912675606129</v>
      </c>
      <c r="L24" s="178">
        <f t="shared" si="7"/>
        <v>2.4529483411647881</v>
      </c>
      <c r="M24" s="454">
        <f t="shared" si="14"/>
        <v>219.1329535922809</v>
      </c>
      <c r="N24" s="203">
        <f t="shared" si="8"/>
        <v>350</v>
      </c>
      <c r="O24" s="223">
        <f t="shared" si="9"/>
        <v>0.81396160558464226</v>
      </c>
      <c r="P24" s="179">
        <f t="shared" si="10"/>
        <v>1.5357766143106457</v>
      </c>
      <c r="Q24" s="179">
        <f t="shared" si="11"/>
        <v>0.6562831793719105</v>
      </c>
      <c r="R24" s="179">
        <f t="shared" si="12"/>
        <v>0.5660377358490567</v>
      </c>
    </row>
    <row r="25" spans="3:18" x14ac:dyDescent="0.2">
      <c r="C25" s="176">
        <v>19</v>
      </c>
      <c r="D25" s="6">
        <f t="shared" si="13"/>
        <v>18.84</v>
      </c>
      <c r="E25" s="454">
        <f t="shared" si="0"/>
        <v>15.899999999999999</v>
      </c>
      <c r="F25" s="223">
        <f t="shared" si="1"/>
        <v>0.45768566493955098</v>
      </c>
      <c r="G25" s="178">
        <f t="shared" si="2"/>
        <v>5.82038860103627</v>
      </c>
      <c r="H25" s="223">
        <f t="shared" si="3"/>
        <v>1.1640777202072541</v>
      </c>
      <c r="I25" s="454">
        <f t="shared" si="4"/>
        <v>34.739999999999995</v>
      </c>
      <c r="J25" s="178">
        <f t="shared" si="5"/>
        <v>1.2885737558252881</v>
      </c>
      <c r="K25" s="178">
        <f t="shared" si="6"/>
        <v>2.0518690379383568</v>
      </c>
      <c r="L25" s="178">
        <f t="shared" si="7"/>
        <v>2.4312712374062042</v>
      </c>
      <c r="M25" s="454">
        <f t="shared" si="14"/>
        <v>223.05793229348436</v>
      </c>
      <c r="N25" s="203">
        <f t="shared" si="8"/>
        <v>350</v>
      </c>
      <c r="O25" s="223">
        <f t="shared" si="9"/>
        <v>0.82121885023439423</v>
      </c>
      <c r="P25" s="179">
        <f t="shared" si="10"/>
        <v>1.5494695287441402</v>
      </c>
      <c r="Q25" s="179">
        <f t="shared" si="11"/>
        <v>0.66803813205595808</v>
      </c>
      <c r="R25" s="179">
        <f t="shared" si="12"/>
        <v>0.5660377358490567</v>
      </c>
    </row>
    <row r="26" spans="3:18" x14ac:dyDescent="0.2">
      <c r="C26" s="176">
        <v>20</v>
      </c>
      <c r="D26" s="6">
        <f t="shared" si="13"/>
        <v>19.2</v>
      </c>
      <c r="E26" s="454">
        <f t="shared" si="0"/>
        <v>15.899999999999999</v>
      </c>
      <c r="F26" s="223">
        <f t="shared" si="1"/>
        <v>0.45299145299145305</v>
      </c>
      <c r="G26" s="178">
        <f t="shared" si="2"/>
        <v>5.8707692307692314</v>
      </c>
      <c r="H26" s="223">
        <f t="shared" si="3"/>
        <v>1.1741538461538463</v>
      </c>
      <c r="I26" s="454">
        <f t="shared" si="4"/>
        <v>35.099999999999994</v>
      </c>
      <c r="J26" s="178">
        <f t="shared" si="5"/>
        <v>1.2775157232704402</v>
      </c>
      <c r="K26" s="178">
        <f t="shared" si="6"/>
        <v>1.996118317610063</v>
      </c>
      <c r="L26" s="178">
        <f t="shared" si="7"/>
        <v>2.4104070250385665</v>
      </c>
      <c r="M26" s="454">
        <f t="shared" si="14"/>
        <v>226.93617357001972</v>
      </c>
      <c r="N26" s="203">
        <f t="shared" si="8"/>
        <v>350</v>
      </c>
      <c r="O26" s="223">
        <f t="shared" si="9"/>
        <v>0.82832722832722838</v>
      </c>
      <c r="P26" s="179">
        <f t="shared" si="10"/>
        <v>1.5628815628815631</v>
      </c>
      <c r="Q26" s="179">
        <f t="shared" si="11"/>
        <v>0.67965311042234144</v>
      </c>
      <c r="R26" s="179">
        <f t="shared" si="12"/>
        <v>0.5660377358490567</v>
      </c>
    </row>
    <row r="27" spans="3:18" x14ac:dyDescent="0.2">
      <c r="C27" s="176">
        <v>21</v>
      </c>
      <c r="D27" s="6">
        <f t="shared" si="13"/>
        <v>19.559999999999999</v>
      </c>
      <c r="E27" s="454">
        <f t="shared" si="0"/>
        <v>15.899999999999999</v>
      </c>
      <c r="F27" s="223">
        <f t="shared" si="1"/>
        <v>0.44839255499153979</v>
      </c>
      <c r="G27" s="178">
        <f t="shared" si="2"/>
        <v>5.9201269035533004</v>
      </c>
      <c r="H27" s="223">
        <f t="shared" si="3"/>
        <v>1.18402538071066</v>
      </c>
      <c r="I27" s="454">
        <f t="shared" si="4"/>
        <v>35.459999999999994</v>
      </c>
      <c r="J27" s="178">
        <f t="shared" si="5"/>
        <v>1.2668647348587156</v>
      </c>
      <c r="K27" s="178">
        <f t="shared" si="6"/>
        <v>1.9430440718691961</v>
      </c>
      <c r="L27" s="178">
        <f t="shared" si="7"/>
        <v>2.3903108204881431</v>
      </c>
      <c r="M27" s="454">
        <f t="shared" si="14"/>
        <v>230.76808266123837</v>
      </c>
      <c r="N27" s="203">
        <f t="shared" si="8"/>
        <v>350</v>
      </c>
      <c r="O27" s="223">
        <f t="shared" si="9"/>
        <v>0.83529127386995405</v>
      </c>
      <c r="P27" s="179">
        <f t="shared" si="10"/>
        <v>1.5760212714527435</v>
      </c>
      <c r="Q27" s="179">
        <f t="shared" si="11"/>
        <v>0.691129328125901</v>
      </c>
      <c r="R27" s="179">
        <f t="shared" si="12"/>
        <v>0.5660377358490567</v>
      </c>
    </row>
    <row r="28" spans="3:18" x14ac:dyDescent="0.2">
      <c r="C28" s="176">
        <v>22</v>
      </c>
      <c r="D28" s="6">
        <f t="shared" si="13"/>
        <v>19.920000000000002</v>
      </c>
      <c r="E28" s="454">
        <f t="shared" si="0"/>
        <v>15.899999999999999</v>
      </c>
      <c r="F28" s="223">
        <f t="shared" si="1"/>
        <v>0.44388609715242877</v>
      </c>
      <c r="G28" s="178">
        <f t="shared" si="2"/>
        <v>5.9684924623115583</v>
      </c>
      <c r="H28" s="223">
        <f t="shared" si="3"/>
        <v>1.1936984924623117</v>
      </c>
      <c r="I28" s="454">
        <f t="shared" si="4"/>
        <v>35.82</v>
      </c>
      <c r="J28" s="178">
        <f t="shared" si="5"/>
        <v>1.2565987219317523</v>
      </c>
      <c r="K28" s="178">
        <f t="shared" si="6"/>
        <v>1.8924679547164944</v>
      </c>
      <c r="L28" s="178">
        <f t="shared" si="7"/>
        <v>2.3709409847768916</v>
      </c>
      <c r="M28" s="454">
        <f t="shared" si="14"/>
        <v>234.55408903815552</v>
      </c>
      <c r="N28" s="203">
        <f t="shared" si="8"/>
        <v>350</v>
      </c>
      <c r="O28" s="223">
        <f t="shared" si="9"/>
        <v>0.84211533859775067</v>
      </c>
      <c r="P28" s="179">
        <f t="shared" si="10"/>
        <v>1.5888968652787752</v>
      </c>
      <c r="Q28" s="179">
        <f t="shared" si="11"/>
        <v>0.70246807139309875</v>
      </c>
      <c r="R28" s="179">
        <f t="shared" si="12"/>
        <v>0.5660377358490567</v>
      </c>
    </row>
    <row r="29" spans="3:18" x14ac:dyDescent="0.2">
      <c r="C29" s="176">
        <v>23</v>
      </c>
      <c r="D29" s="6">
        <f t="shared" si="13"/>
        <v>20.28</v>
      </c>
      <c r="E29" s="454">
        <f t="shared" si="0"/>
        <v>15.899999999999999</v>
      </c>
      <c r="F29" s="223">
        <f t="shared" si="1"/>
        <v>0.43946932006633493</v>
      </c>
      <c r="G29" s="178">
        <f t="shared" si="2"/>
        <v>6.0158955223880595</v>
      </c>
      <c r="H29" s="223">
        <f t="shared" si="3"/>
        <v>1.2031791044776119</v>
      </c>
      <c r="I29" s="454">
        <f t="shared" si="4"/>
        <v>36.18</v>
      </c>
      <c r="J29" s="178">
        <f t="shared" si="5"/>
        <v>1.246697182836515</v>
      </c>
      <c r="K29" s="178">
        <f t="shared" si="6"/>
        <v>1.844226601829164</v>
      </c>
      <c r="L29" s="178">
        <f t="shared" si="7"/>
        <v>2.3522588355405945</v>
      </c>
      <c r="M29" s="454">
        <f t="shared" si="14"/>
        <v>238.29464320190101</v>
      </c>
      <c r="N29" s="203">
        <f t="shared" si="8"/>
        <v>350</v>
      </c>
      <c r="O29" s="223">
        <f t="shared" si="9"/>
        <v>0.84880360104240704</v>
      </c>
      <c r="P29" s="179">
        <f t="shared" si="10"/>
        <v>1.6015162283819002</v>
      </c>
      <c r="Q29" s="179">
        <f t="shared" si="11"/>
        <v>0.71367068943366574</v>
      </c>
      <c r="R29" s="179">
        <f t="shared" si="12"/>
        <v>0.5660377358490567</v>
      </c>
    </row>
    <row r="30" spans="3:18" x14ac:dyDescent="0.2">
      <c r="C30" s="176">
        <v>24</v>
      </c>
      <c r="D30" s="6">
        <f t="shared" si="13"/>
        <v>20.64</v>
      </c>
      <c r="E30" s="454">
        <f t="shared" si="0"/>
        <v>15.899999999999999</v>
      </c>
      <c r="F30" s="223">
        <f t="shared" si="1"/>
        <v>0.43513957307060752</v>
      </c>
      <c r="G30" s="178">
        <f t="shared" si="2"/>
        <v>6.0623645320197044</v>
      </c>
      <c r="H30" s="223">
        <f t="shared" si="3"/>
        <v>1.2124729064039408</v>
      </c>
      <c r="I30" s="454">
        <f t="shared" si="4"/>
        <v>36.54</v>
      </c>
      <c r="J30" s="178">
        <f t="shared" si="5"/>
        <v>1.2371410462678563</v>
      </c>
      <c r="K30" s="178">
        <f t="shared" si="6"/>
        <v>1.7981701253893259</v>
      </c>
      <c r="L30" s="178">
        <f t="shared" si="7"/>
        <v>2.3342283891846347</v>
      </c>
      <c r="M30" s="454">
        <f t="shared" si="14"/>
        <v>241.99021378825014</v>
      </c>
      <c r="N30" s="203">
        <f t="shared" si="8"/>
        <v>350</v>
      </c>
      <c r="O30" s="223">
        <f t="shared" si="9"/>
        <v>0.85536007506450862</v>
      </c>
      <c r="P30" s="179">
        <f t="shared" si="10"/>
        <v>1.6138869340839785</v>
      </c>
      <c r="Q30" s="179">
        <f t="shared" si="11"/>
        <v>0.72473858576894323</v>
      </c>
      <c r="R30" s="179">
        <f t="shared" si="12"/>
        <v>0.5660377358490567</v>
      </c>
    </row>
    <row r="31" spans="3:18" x14ac:dyDescent="0.2">
      <c r="C31" s="176">
        <v>25</v>
      </c>
      <c r="D31" s="6">
        <f t="shared" si="13"/>
        <v>21</v>
      </c>
      <c r="E31" s="454">
        <f t="shared" si="0"/>
        <v>15.899999999999999</v>
      </c>
      <c r="F31" s="223">
        <f t="shared" si="1"/>
        <v>0.43089430894308939</v>
      </c>
      <c r="G31" s="178">
        <f t="shared" si="2"/>
        <v>6.1079268292682913</v>
      </c>
      <c r="H31" s="223">
        <f t="shared" si="3"/>
        <v>1.2215853658536582</v>
      </c>
      <c r="I31" s="454">
        <f t="shared" si="4"/>
        <v>36.9</v>
      </c>
      <c r="J31" s="178">
        <f t="shared" si="5"/>
        <v>1.2279125486672655</v>
      </c>
      <c r="K31" s="178">
        <f t="shared" si="6"/>
        <v>1.7541607838103792</v>
      </c>
      <c r="L31" s="178">
        <f t="shared" si="7"/>
        <v>2.3168161295608787</v>
      </c>
      <c r="M31" s="454">
        <f t="shared" si="14"/>
        <v>245.64128494943489</v>
      </c>
      <c r="N31" s="203">
        <f t="shared" si="8"/>
        <v>350</v>
      </c>
      <c r="O31" s="223">
        <f t="shared" si="9"/>
        <v>0.86178861788617878</v>
      </c>
      <c r="P31" s="179">
        <f t="shared" si="10"/>
        <v>1.6260162601626016</v>
      </c>
      <c r="Q31" s="179">
        <f t="shared" si="11"/>
        <v>0.73567321039064049</v>
      </c>
      <c r="R31" s="179">
        <f t="shared" si="12"/>
        <v>0.5660377358490567</v>
      </c>
    </row>
    <row r="32" spans="3:18" x14ac:dyDescent="0.2">
      <c r="C32" s="176">
        <v>26</v>
      </c>
      <c r="D32" s="6">
        <f t="shared" si="13"/>
        <v>21.36</v>
      </c>
      <c r="E32" s="454">
        <f t="shared" si="0"/>
        <v>15.899999999999999</v>
      </c>
      <c r="F32" s="223">
        <f t="shared" si="1"/>
        <v>0.42673107890499196</v>
      </c>
      <c r="G32" s="178">
        <f t="shared" si="2"/>
        <v>6.1526086956521748</v>
      </c>
      <c r="H32" s="223">
        <f t="shared" si="3"/>
        <v>1.2305217391304351</v>
      </c>
      <c r="I32" s="454">
        <f t="shared" si="4"/>
        <v>37.26</v>
      </c>
      <c r="J32" s="178">
        <f t="shared" si="5"/>
        <v>1.2189951240195041</v>
      </c>
      <c r="K32" s="178">
        <f t="shared" si="6"/>
        <v>1.7120718033981799</v>
      </c>
      <c r="L32" s="178">
        <f t="shared" si="7"/>
        <v>2.2999908000368001</v>
      </c>
      <c r="M32" s="454">
        <f t="shared" si="14"/>
        <v>249.24835398725753</v>
      </c>
      <c r="N32" s="203">
        <f t="shared" si="8"/>
        <v>350</v>
      </c>
      <c r="O32" s="223">
        <f t="shared" si="9"/>
        <v>0.86809293765815498</v>
      </c>
      <c r="P32" s="179">
        <f t="shared" si="10"/>
        <v>1.6379112031285943</v>
      </c>
      <c r="Q32" s="179">
        <f t="shared" si="11"/>
        <v>0.74647605267222972</v>
      </c>
      <c r="R32" s="179">
        <f t="shared" si="12"/>
        <v>0.5660377358490567</v>
      </c>
    </row>
    <row r="33" spans="3:18" x14ac:dyDescent="0.2">
      <c r="C33" s="176">
        <v>27</v>
      </c>
      <c r="D33" s="6">
        <f t="shared" si="13"/>
        <v>21.72</v>
      </c>
      <c r="E33" s="454">
        <f t="shared" si="0"/>
        <v>15.899999999999999</v>
      </c>
      <c r="F33" s="223">
        <f t="shared" si="1"/>
        <v>0.42264752791068577</v>
      </c>
      <c r="G33" s="178">
        <f t="shared" si="2"/>
        <v>6.1964354066985647</v>
      </c>
      <c r="H33" s="223">
        <f t="shared" si="3"/>
        <v>1.239287081339713</v>
      </c>
      <c r="I33" s="454">
        <f t="shared" si="4"/>
        <v>37.619999999999997</v>
      </c>
      <c r="J33" s="178">
        <f t="shared" si="5"/>
        <v>1.2103733046086849</v>
      </c>
      <c r="K33" s="178">
        <f t="shared" si="6"/>
        <v>1.6717863323324378</v>
      </c>
      <c r="L33" s="178">
        <f t="shared" si="7"/>
        <v>2.2837232162428016</v>
      </c>
      <c r="M33" s="454">
        <f t="shared" si="14"/>
        <v>252.81192921407469</v>
      </c>
      <c r="N33" s="203">
        <f t="shared" si="8"/>
        <v>350</v>
      </c>
      <c r="O33" s="223">
        <f t="shared" si="9"/>
        <v>0.8742766005923901</v>
      </c>
      <c r="P33" s="179">
        <f t="shared" si="10"/>
        <v>1.6495784916837548</v>
      </c>
      <c r="Q33" s="179">
        <f t="shared" si="11"/>
        <v>0.75714863496278761</v>
      </c>
      <c r="R33" s="179">
        <f t="shared" si="12"/>
        <v>0.5660377358490567</v>
      </c>
    </row>
    <row r="34" spans="3:18" x14ac:dyDescent="0.2">
      <c r="C34" s="176">
        <v>28</v>
      </c>
      <c r="D34" s="6">
        <f t="shared" si="13"/>
        <v>22.080000000000002</v>
      </c>
      <c r="E34" s="454">
        <f t="shared" si="0"/>
        <v>15.899999999999999</v>
      </c>
      <c r="F34" s="223">
        <f t="shared" si="1"/>
        <v>0.41864139020537117</v>
      </c>
      <c r="G34" s="178">
        <f t="shared" si="2"/>
        <v>6.2394312796208524</v>
      </c>
      <c r="H34" s="223">
        <f t="shared" si="3"/>
        <v>1.2478862559241706</v>
      </c>
      <c r="I34" s="454">
        <f t="shared" si="4"/>
        <v>37.980000000000004</v>
      </c>
      <c r="J34" s="178">
        <f t="shared" si="5"/>
        <v>1.2020326314830008</v>
      </c>
      <c r="K34" s="178">
        <f t="shared" si="6"/>
        <v>1.6331965101671204</v>
      </c>
      <c r="L34" s="178">
        <f t="shared" si="7"/>
        <v>2.2679860971377375</v>
      </c>
      <c r="M34" s="454">
        <f t="shared" si="14"/>
        <v>256.33252802048469</v>
      </c>
      <c r="N34" s="203">
        <f t="shared" si="8"/>
        <v>350</v>
      </c>
      <c r="O34" s="223">
        <f t="shared" si="9"/>
        <v>0.88034303768900934</v>
      </c>
      <c r="P34" s="179">
        <f t="shared" si="10"/>
        <v>1.6610245994132253</v>
      </c>
      <c r="Q34" s="179">
        <f t="shared" si="11"/>
        <v>0.76769250679989465</v>
      </c>
      <c r="R34" s="179">
        <f t="shared" si="12"/>
        <v>0.5660377358490567</v>
      </c>
    </row>
    <row r="35" spans="3:18" x14ac:dyDescent="0.2">
      <c r="C35" s="176">
        <v>29</v>
      </c>
      <c r="D35" s="6">
        <f t="shared" si="13"/>
        <v>22.439999999999998</v>
      </c>
      <c r="E35" s="454">
        <f t="shared" si="0"/>
        <v>15.899999999999999</v>
      </c>
      <c r="F35" s="223">
        <f t="shared" si="1"/>
        <v>0.41471048513302033</v>
      </c>
      <c r="G35" s="178">
        <f t="shared" si="2"/>
        <v>6.2816197183098579</v>
      </c>
      <c r="H35" s="223">
        <f t="shared" si="3"/>
        <v>1.2563239436619715</v>
      </c>
      <c r="I35" s="454">
        <f t="shared" si="4"/>
        <v>38.339999999999996</v>
      </c>
      <c r="J35" s="178">
        <f t="shared" si="5"/>
        <v>1.1939595735378201</v>
      </c>
      <c r="K35" s="178">
        <f t="shared" si="6"/>
        <v>1.5962026384195458</v>
      </c>
      <c r="L35" s="178">
        <f t="shared" si="7"/>
        <v>2.2527539123355096</v>
      </c>
      <c r="M35" s="454">
        <f t="shared" si="14"/>
        <v>259.81067513059577</v>
      </c>
      <c r="N35" s="203">
        <f t="shared" si="8"/>
        <v>350</v>
      </c>
      <c r="O35" s="223">
        <f t="shared" si="9"/>
        <v>0.88629555108428337</v>
      </c>
      <c r="P35" s="179">
        <f t="shared" si="10"/>
        <v>1.6722557567627989</v>
      </c>
      <c r="Q35" s="179">
        <f t="shared" si="11"/>
        <v>0.77810923968432377</v>
      </c>
      <c r="R35" s="179">
        <f t="shared" si="12"/>
        <v>0.5660377358490567</v>
      </c>
    </row>
    <row r="36" spans="3:18" x14ac:dyDescent="0.2">
      <c r="C36" s="176">
        <v>30</v>
      </c>
      <c r="D36" s="6">
        <f t="shared" si="13"/>
        <v>22.799999999999997</v>
      </c>
      <c r="E36" s="454">
        <f t="shared" si="0"/>
        <v>15.899999999999999</v>
      </c>
      <c r="F36" s="223">
        <f t="shared" si="1"/>
        <v>0.41085271317829458</v>
      </c>
      <c r="G36" s="178">
        <f t="shared" si="2"/>
        <v>6.3230232558139532</v>
      </c>
      <c r="H36" s="223">
        <f t="shared" si="3"/>
        <v>1.2646046511627906</v>
      </c>
      <c r="I36" s="454">
        <f t="shared" si="4"/>
        <v>38.699999999999996</v>
      </c>
      <c r="J36" s="178">
        <f t="shared" si="5"/>
        <v>1.1861414542645923</v>
      </c>
      <c r="K36" s="178">
        <f t="shared" si="6"/>
        <v>1.5607124398218322</v>
      </c>
      <c r="L36" s="178">
        <f t="shared" si="7"/>
        <v>2.2380027438954575</v>
      </c>
      <c r="M36" s="454">
        <f t="shared" si="14"/>
        <v>263.2469010275824</v>
      </c>
      <c r="N36" s="203">
        <f t="shared" si="8"/>
        <v>350</v>
      </c>
      <c r="O36" s="223">
        <f t="shared" si="9"/>
        <v>0.89213732004429669</v>
      </c>
      <c r="P36" s="179">
        <f t="shared" si="10"/>
        <v>1.6832779623477299</v>
      </c>
      <c r="Q36" s="179">
        <f t="shared" si="11"/>
        <v>0.78840042236472729</v>
      </c>
      <c r="R36" s="179">
        <f t="shared" si="12"/>
        <v>0.5660377358490567</v>
      </c>
    </row>
    <row r="37" spans="3:18" x14ac:dyDescent="0.2">
      <c r="C37" s="176">
        <v>31</v>
      </c>
      <c r="D37" s="6">
        <f t="shared" si="13"/>
        <v>23.16</v>
      </c>
      <c r="E37" s="454">
        <f t="shared" si="0"/>
        <v>15.899999999999999</v>
      </c>
      <c r="F37" s="223">
        <f t="shared" si="1"/>
        <v>0.40706605222734249</v>
      </c>
      <c r="G37" s="178">
        <f t="shared" si="2"/>
        <v>6.3636635944700446</v>
      </c>
      <c r="H37" s="223">
        <f t="shared" si="3"/>
        <v>1.272732718894009</v>
      </c>
      <c r="I37" s="454">
        <f t="shared" si="4"/>
        <v>39.06</v>
      </c>
      <c r="J37" s="178">
        <f t="shared" si="5"/>
        <v>1.178566385331465</v>
      </c>
      <c r="K37" s="178">
        <f t="shared" si="6"/>
        <v>1.5266403955070791</v>
      </c>
      <c r="L37" s="178">
        <f t="shared" si="7"/>
        <v>2.2237101610027645</v>
      </c>
      <c r="M37" s="454">
        <f t="shared" si="14"/>
        <v>266.64174053388263</v>
      </c>
      <c r="N37" s="203">
        <f t="shared" si="8"/>
        <v>350</v>
      </c>
      <c r="O37" s="223">
        <f t="shared" si="9"/>
        <v>0.89787140662716702</v>
      </c>
      <c r="P37" s="179">
        <f t="shared" si="10"/>
        <v>1.6940969936361643</v>
      </c>
      <c r="Q37" s="179">
        <f t="shared" si="11"/>
        <v>0.79856765658545281</v>
      </c>
      <c r="R37" s="179">
        <f t="shared" si="12"/>
        <v>0.5660377358490567</v>
      </c>
    </row>
    <row r="38" spans="3:18" x14ac:dyDescent="0.2">
      <c r="C38" s="176">
        <v>32</v>
      </c>
      <c r="D38" s="6">
        <f t="shared" si="13"/>
        <v>23.52</v>
      </c>
      <c r="E38" s="454">
        <f t="shared" ref="E38:E69" si="15">(Vout+Vfwd1)*Nps</f>
        <v>15.899999999999999</v>
      </c>
      <c r="F38" s="223">
        <f t="shared" ref="F38:F69" si="16">(Vout+Vfwd1)*Nps/((Vout+Vfwd1)*Nps+D38)</f>
        <v>0.40334855403348546</v>
      </c>
      <c r="G38" s="178">
        <f t="shared" ref="G38:G69" si="17">F38*D38*Isw_max*0.5*Efficiency</f>
        <v>6.4035616438356149</v>
      </c>
      <c r="H38" s="223">
        <f t="shared" ref="H38:H69" si="18">G38/Vout</f>
        <v>1.2807123287671229</v>
      </c>
      <c r="I38" s="454">
        <f t="shared" ref="I38:I69" si="19">(Vout+Vfwd1)*Nps+D38</f>
        <v>39.42</v>
      </c>
      <c r="J38" s="178">
        <f t="shared" ref="J38:J69" si="20">MIN(2*Vout*Iout/(Efficiency*D38*F38), 1.35)</f>
        <v>1.1712232062636379</v>
      </c>
      <c r="K38" s="178">
        <f t="shared" ref="K38:K69" si="21">L*J38/D38*1000000</f>
        <v>1.493907150846477</v>
      </c>
      <c r="L38" s="178">
        <f t="shared" ref="L38:L69" si="22">L*J38/((Vout+Vfwd1)*Nps)*1000000</f>
        <v>2.2098551061578076</v>
      </c>
      <c r="M38" s="454">
        <f t="shared" si="14"/>
        <v>269.99573153186952</v>
      </c>
      <c r="N38" s="203">
        <f t="shared" ref="N38:N69" si="23">IF(1/((350000*L)*(1/D38+1/E38))&gt;Isw_min, 350, 0.001/((Isw_min*L)*(1/D38+1/E38)))</f>
        <v>350</v>
      </c>
      <c r="O38" s="223">
        <f t="shared" ref="O38:O69" si="24">1/((N38*1000*L)*(1/D38+1/E38))</f>
        <v>0.90350076103500754</v>
      </c>
      <c r="P38" s="179">
        <f t="shared" ref="P38:P69" si="25">L*O38/E38*1000000</f>
        <v>1.7047184170471843</v>
      </c>
      <c r="Q38" s="179">
        <f t="shared" ref="Q38:Q69" si="26">0.5*P38*O38*Nps*N38/1000</f>
        <v>0.80861255325507542</v>
      </c>
      <c r="R38" s="179">
        <f t="shared" ref="R38:R69" si="27">L*Isw_min/E38*1000000</f>
        <v>0.5660377358490567</v>
      </c>
    </row>
    <row r="39" spans="3:18" x14ac:dyDescent="0.2">
      <c r="C39" s="176">
        <v>33</v>
      </c>
      <c r="D39" s="6">
        <f t="shared" ref="D39:D70" si="28">C39/100*(VIN_max-VIN_min)+VIN_min</f>
        <v>23.880000000000003</v>
      </c>
      <c r="E39" s="454">
        <f t="shared" si="15"/>
        <v>15.899999999999999</v>
      </c>
      <c r="F39" s="223">
        <f t="shared" si="16"/>
        <v>0.39969834087481143</v>
      </c>
      <c r="G39" s="178">
        <f t="shared" si="17"/>
        <v>6.4427375565610863</v>
      </c>
      <c r="H39" s="223">
        <f t="shared" si="18"/>
        <v>1.2885475113122173</v>
      </c>
      <c r="I39" s="454">
        <f t="shared" si="19"/>
        <v>39.78</v>
      </c>
      <c r="J39" s="178">
        <f t="shared" si="20"/>
        <v>1.1641014295797647</v>
      </c>
      <c r="K39" s="178">
        <f t="shared" si="21"/>
        <v>1.4624389818841264</v>
      </c>
      <c r="L39" s="178">
        <f t="shared" si="22"/>
        <v>2.1964177916599334</v>
      </c>
      <c r="M39" s="454">
        <f t="shared" si="14"/>
        <v>273.30941381216599</v>
      </c>
      <c r="N39" s="203">
        <f t="shared" si="23"/>
        <v>350</v>
      </c>
      <c r="O39" s="223">
        <f t="shared" si="24"/>
        <v>0.90902822667528549</v>
      </c>
      <c r="P39" s="179">
        <f t="shared" si="25"/>
        <v>1.7151475975005388</v>
      </c>
      <c r="Q39" s="179">
        <f t="shared" si="26"/>
        <v>0.81853672899720276</v>
      </c>
      <c r="R39" s="179">
        <f t="shared" si="27"/>
        <v>0.5660377358490567</v>
      </c>
    </row>
    <row r="40" spans="3:18" x14ac:dyDescent="0.2">
      <c r="C40" s="176">
        <v>34</v>
      </c>
      <c r="D40" s="6">
        <f t="shared" si="28"/>
        <v>24.240000000000002</v>
      </c>
      <c r="E40" s="454">
        <f t="shared" si="15"/>
        <v>15.899999999999999</v>
      </c>
      <c r="F40" s="223">
        <f t="shared" si="16"/>
        <v>0.39611360239162924</v>
      </c>
      <c r="G40" s="178">
        <f t="shared" si="17"/>
        <v>6.4812107623318376</v>
      </c>
      <c r="H40" s="223">
        <f t="shared" si="18"/>
        <v>1.2962421524663674</v>
      </c>
      <c r="I40" s="454">
        <f t="shared" si="19"/>
        <v>40.14</v>
      </c>
      <c r="J40" s="178">
        <f t="shared" si="20"/>
        <v>1.157191190817195</v>
      </c>
      <c r="K40" s="178">
        <f t="shared" si="21"/>
        <v>1.4321673153678156</v>
      </c>
      <c r="L40" s="178">
        <f t="shared" si="22"/>
        <v>2.1833796053154626</v>
      </c>
      <c r="M40" s="454">
        <f t="shared" si="14"/>
        <v>276.58332803796571</v>
      </c>
      <c r="N40" s="203">
        <f t="shared" si="23"/>
        <v>350</v>
      </c>
      <c r="O40" s="223">
        <f t="shared" si="24"/>
        <v>0.91445654494981843</v>
      </c>
      <c r="P40" s="179">
        <f t="shared" si="25"/>
        <v>1.7253897074524878</v>
      </c>
      <c r="Q40" s="179">
        <f t="shared" si="26"/>
        <v>0.82834180304871452</v>
      </c>
      <c r="R40" s="179">
        <f t="shared" si="27"/>
        <v>0.5660377358490567</v>
      </c>
    </row>
    <row r="41" spans="3:18" x14ac:dyDescent="0.2">
      <c r="C41" s="176">
        <v>35</v>
      </c>
      <c r="D41" s="6">
        <f t="shared" si="28"/>
        <v>24.6</v>
      </c>
      <c r="E41" s="454">
        <f t="shared" si="15"/>
        <v>15.899999999999999</v>
      </c>
      <c r="F41" s="223">
        <f t="shared" si="16"/>
        <v>0.39259259259259255</v>
      </c>
      <c r="G41" s="178">
        <f t="shared" si="17"/>
        <v>6.5190000000000001</v>
      </c>
      <c r="H41" s="223">
        <f t="shared" si="18"/>
        <v>1.3038000000000001</v>
      </c>
      <c r="I41" s="454">
        <f t="shared" si="19"/>
        <v>40.5</v>
      </c>
      <c r="J41" s="178">
        <f t="shared" si="20"/>
        <v>1.1504832029452372</v>
      </c>
      <c r="K41" s="178">
        <f t="shared" si="21"/>
        <v>1.4030282962746794</v>
      </c>
      <c r="L41" s="178">
        <f t="shared" si="22"/>
        <v>2.170723024424976</v>
      </c>
      <c r="M41" s="454">
        <f t="shared" si="14"/>
        <v>279.81801481481477</v>
      </c>
      <c r="N41" s="203">
        <f t="shared" si="23"/>
        <v>350</v>
      </c>
      <c r="O41" s="223">
        <f t="shared" si="24"/>
        <v>0.91978835978835982</v>
      </c>
      <c r="P41" s="179">
        <f t="shared" si="25"/>
        <v>1.7354497354497358</v>
      </c>
      <c r="Q41" s="179">
        <f t="shared" si="26"/>
        <v>0.83802939447383917</v>
      </c>
      <c r="R41" s="179">
        <f t="shared" si="27"/>
        <v>0.5660377358490567</v>
      </c>
    </row>
    <row r="42" spans="3:18" x14ac:dyDescent="0.2">
      <c r="C42" s="176">
        <v>36</v>
      </c>
      <c r="D42" s="6">
        <f t="shared" si="28"/>
        <v>24.96</v>
      </c>
      <c r="E42" s="454">
        <f t="shared" si="15"/>
        <v>15.899999999999999</v>
      </c>
      <c r="F42" s="223">
        <f t="shared" si="16"/>
        <v>0.38913362701908955</v>
      </c>
      <c r="G42" s="178">
        <f t="shared" si="17"/>
        <v>6.5561233480176213</v>
      </c>
      <c r="H42" s="223">
        <f t="shared" si="18"/>
        <v>1.3112246696035244</v>
      </c>
      <c r="I42" s="454">
        <f t="shared" si="19"/>
        <v>40.86</v>
      </c>
      <c r="J42" s="178">
        <f t="shared" si="20"/>
        <v>1.1439687147234316</v>
      </c>
      <c r="K42" s="178">
        <f t="shared" si="21"/>
        <v>1.3749623975041245</v>
      </c>
      <c r="L42" s="178">
        <f t="shared" si="22"/>
        <v>2.1584315372140224</v>
      </c>
      <c r="M42" s="454">
        <f t="shared" si="14"/>
        <v>283.01401385627514</v>
      </c>
      <c r="N42" s="203">
        <f t="shared" si="23"/>
        <v>350</v>
      </c>
      <c r="O42" s="223">
        <f t="shared" si="24"/>
        <v>0.92502622194252149</v>
      </c>
      <c r="P42" s="179">
        <f t="shared" si="25"/>
        <v>1.7453324942311728</v>
      </c>
      <c r="Q42" s="179">
        <f t="shared" si="26"/>
        <v>0.8476011196653942</v>
      </c>
      <c r="R42" s="179">
        <f t="shared" si="27"/>
        <v>0.5660377358490567</v>
      </c>
    </row>
    <row r="43" spans="3:18" x14ac:dyDescent="0.2">
      <c r="C43" s="176">
        <v>37</v>
      </c>
      <c r="D43" s="6">
        <f t="shared" si="28"/>
        <v>25.32</v>
      </c>
      <c r="E43" s="454">
        <f t="shared" si="15"/>
        <v>15.899999999999999</v>
      </c>
      <c r="F43" s="223">
        <f t="shared" si="16"/>
        <v>0.38573508005822416</v>
      </c>
      <c r="G43" s="178">
        <f t="shared" si="17"/>
        <v>6.59259825327511</v>
      </c>
      <c r="H43" s="223">
        <f t="shared" si="18"/>
        <v>1.3185196506550221</v>
      </c>
      <c r="I43" s="454">
        <f t="shared" si="19"/>
        <v>41.22</v>
      </c>
      <c r="J43" s="178">
        <f t="shared" si="20"/>
        <v>1.1376394726121992</v>
      </c>
      <c r="K43" s="178">
        <f t="shared" si="21"/>
        <v>1.3479140670760654</v>
      </c>
      <c r="L43" s="178">
        <f t="shared" si="22"/>
        <v>2.146489570966414</v>
      </c>
      <c r="M43" s="454">
        <f t="shared" si="14"/>
        <v>286.17186323678027</v>
      </c>
      <c r="N43" s="203">
        <f t="shared" si="23"/>
        <v>350</v>
      </c>
      <c r="O43" s="223">
        <f t="shared" si="24"/>
        <v>0.93017259305468902</v>
      </c>
      <c r="P43" s="179">
        <f t="shared" si="25"/>
        <v>1.7550426284050737</v>
      </c>
      <c r="Q43" s="179">
        <f t="shared" si="26"/>
        <v>0.85705859010715868</v>
      </c>
      <c r="R43" s="179">
        <f t="shared" si="27"/>
        <v>0.5660377358490567</v>
      </c>
    </row>
    <row r="44" spans="3:18" x14ac:dyDescent="0.2">
      <c r="C44" s="176">
        <v>38</v>
      </c>
      <c r="D44" s="6">
        <f t="shared" si="28"/>
        <v>25.68</v>
      </c>
      <c r="E44" s="454">
        <f t="shared" si="15"/>
        <v>15.899999999999999</v>
      </c>
      <c r="F44" s="223">
        <f t="shared" si="16"/>
        <v>0.3823953823953824</v>
      </c>
      <c r="G44" s="178">
        <f t="shared" si="17"/>
        <v>6.6284415584415584</v>
      </c>
      <c r="H44" s="223">
        <f t="shared" si="18"/>
        <v>1.3256883116883116</v>
      </c>
      <c r="I44" s="454">
        <f t="shared" si="19"/>
        <v>41.58</v>
      </c>
      <c r="J44" s="178">
        <f t="shared" si="20"/>
        <v>1.1314876858872627</v>
      </c>
      <c r="K44" s="178">
        <f t="shared" si="21"/>
        <v>1.3218314087468022</v>
      </c>
      <c r="L44" s="178">
        <f t="shared" si="22"/>
        <v>2.1348824262023824</v>
      </c>
      <c r="M44" s="454">
        <f t="shared" si="14"/>
        <v>289.29209872378703</v>
      </c>
      <c r="N44" s="203">
        <f t="shared" si="23"/>
        <v>350</v>
      </c>
      <c r="O44" s="223">
        <f t="shared" si="24"/>
        <v>0.93522984951556387</v>
      </c>
      <c r="P44" s="179">
        <f t="shared" si="25"/>
        <v>1.7645846217274792</v>
      </c>
      <c r="Q44" s="179">
        <f t="shared" si="26"/>
        <v>0.86640341037372604</v>
      </c>
      <c r="R44" s="179">
        <f t="shared" si="27"/>
        <v>0.5660377358490567</v>
      </c>
    </row>
    <row r="45" spans="3:18" x14ac:dyDescent="0.2">
      <c r="C45" s="176">
        <v>39</v>
      </c>
      <c r="D45" s="6">
        <f t="shared" si="28"/>
        <v>26.04</v>
      </c>
      <c r="E45" s="454">
        <f t="shared" si="15"/>
        <v>15.899999999999999</v>
      </c>
      <c r="F45" s="223">
        <f t="shared" si="16"/>
        <v>0.37911301859799712</v>
      </c>
      <c r="G45" s="178">
        <f t="shared" si="17"/>
        <v>6.6636695278969951</v>
      </c>
      <c r="H45" s="223">
        <f t="shared" si="18"/>
        <v>1.332733905579399</v>
      </c>
      <c r="I45" s="454">
        <f t="shared" si="19"/>
        <v>41.94</v>
      </c>
      <c r="J45" s="178">
        <f t="shared" si="20"/>
        <v>1.1255059946478083</v>
      </c>
      <c r="K45" s="178">
        <f t="shared" si="21"/>
        <v>1.2966658924513921</v>
      </c>
      <c r="L45" s="178">
        <f t="shared" si="22"/>
        <v>2.1235962163166198</v>
      </c>
      <c r="M45" s="454">
        <f t="shared" si="14"/>
        <v>292.37525318204428</v>
      </c>
      <c r="N45" s="203">
        <f t="shared" si="23"/>
        <v>350</v>
      </c>
      <c r="O45" s="223">
        <f t="shared" si="24"/>
        <v>0.94020028612303297</v>
      </c>
      <c r="P45" s="179">
        <f t="shared" si="25"/>
        <v>1.7739628040057227</v>
      </c>
      <c r="Q45" s="179">
        <f t="shared" si="26"/>
        <v>0.87563717634634408</v>
      </c>
      <c r="R45" s="179">
        <f t="shared" si="27"/>
        <v>0.5660377358490567</v>
      </c>
    </row>
    <row r="46" spans="3:18" x14ac:dyDescent="0.2">
      <c r="C46" s="176">
        <v>40</v>
      </c>
      <c r="D46" s="6">
        <f t="shared" si="28"/>
        <v>26.4</v>
      </c>
      <c r="E46" s="454">
        <f t="shared" si="15"/>
        <v>15.899999999999999</v>
      </c>
      <c r="F46" s="223">
        <f t="shared" si="16"/>
        <v>0.37588652482269502</v>
      </c>
      <c r="G46" s="178">
        <f t="shared" si="17"/>
        <v>6.6982978723404258</v>
      </c>
      <c r="H46" s="223">
        <f t="shared" si="18"/>
        <v>1.3396595744680853</v>
      </c>
      <c r="I46" s="454">
        <f t="shared" si="19"/>
        <v>42.3</v>
      </c>
      <c r="J46" s="178">
        <f t="shared" si="20"/>
        <v>1.1196874404421575</v>
      </c>
      <c r="K46" s="178">
        <f t="shared" si="21"/>
        <v>1.2723720914115428</v>
      </c>
      <c r="L46" s="178">
        <f t="shared" si="22"/>
        <v>2.1126178121550145</v>
      </c>
      <c r="M46" s="454">
        <f t="shared" si="14"/>
        <v>295.42185604345849</v>
      </c>
      <c r="N46" s="203">
        <f t="shared" si="23"/>
        <v>350</v>
      </c>
      <c r="O46" s="223">
        <f t="shared" si="24"/>
        <v>0.94508611955420463</v>
      </c>
      <c r="P46" s="179">
        <f t="shared" si="25"/>
        <v>1.7831813576494429</v>
      </c>
      <c r="Q46" s="179">
        <f t="shared" si="26"/>
        <v>0.88476147362521296</v>
      </c>
      <c r="R46" s="179">
        <f t="shared" si="27"/>
        <v>0.5660377358490567</v>
      </c>
    </row>
    <row r="47" spans="3:18" x14ac:dyDescent="0.2">
      <c r="C47" s="176">
        <v>41</v>
      </c>
      <c r="D47" s="6">
        <f t="shared" si="28"/>
        <v>26.759999999999998</v>
      </c>
      <c r="E47" s="454">
        <f t="shared" si="15"/>
        <v>15.899999999999999</v>
      </c>
      <c r="F47" s="223">
        <f t="shared" si="16"/>
        <v>0.37271448663853729</v>
      </c>
      <c r="G47" s="178">
        <f t="shared" si="17"/>
        <v>6.7323417721518988</v>
      </c>
      <c r="H47" s="223">
        <f t="shared" si="18"/>
        <v>1.3464683544303797</v>
      </c>
      <c r="I47" s="454">
        <f t="shared" si="19"/>
        <v>42.66</v>
      </c>
      <c r="J47" s="178">
        <f t="shared" si="20"/>
        <v>1.1140254392644611</v>
      </c>
      <c r="K47" s="178">
        <f t="shared" si="21"/>
        <v>1.2489074431215932</v>
      </c>
      <c r="L47" s="178">
        <f t="shared" si="22"/>
        <v>2.1019347910650215</v>
      </c>
      <c r="M47" s="454">
        <f t="shared" si="14"/>
        <v>298.43243283661803</v>
      </c>
      <c r="N47" s="203">
        <f t="shared" si="23"/>
        <v>350</v>
      </c>
      <c r="O47" s="223">
        <f t="shared" si="24"/>
        <v>0.9498894916616436</v>
      </c>
      <c r="P47" s="179">
        <f t="shared" si="25"/>
        <v>1.792244323889894</v>
      </c>
      <c r="Q47" s="179">
        <f t="shared" si="26"/>
        <v>0.89377787612044968</v>
      </c>
      <c r="R47" s="179">
        <f t="shared" si="27"/>
        <v>0.5660377358490567</v>
      </c>
    </row>
    <row r="48" spans="3:18" x14ac:dyDescent="0.2">
      <c r="C48" s="176">
        <v>42</v>
      </c>
      <c r="D48" s="6">
        <f t="shared" si="28"/>
        <v>27.119999999999997</v>
      </c>
      <c r="E48" s="454">
        <f t="shared" si="15"/>
        <v>15.899999999999999</v>
      </c>
      <c r="F48" s="223">
        <f t="shared" si="16"/>
        <v>0.36959553695955372</v>
      </c>
      <c r="G48" s="178">
        <f t="shared" si="17"/>
        <v>6.7658158995815896</v>
      </c>
      <c r="H48" s="223">
        <f t="shared" si="18"/>
        <v>1.353163179916318</v>
      </c>
      <c r="I48" s="454">
        <f t="shared" si="19"/>
        <v>43.019999999999996</v>
      </c>
      <c r="J48" s="178">
        <f t="shared" si="20"/>
        <v>1.1085137567021022</v>
      </c>
      <c r="K48" s="178">
        <f t="shared" si="21"/>
        <v>1.2262320317501132</v>
      </c>
      <c r="L48" s="178">
        <f t="shared" si="22"/>
        <v>2.0915353900039668</v>
      </c>
      <c r="M48" s="454">
        <f t="shared" si="14"/>
        <v>301.40750477057463</v>
      </c>
      <c r="N48" s="203">
        <f t="shared" si="23"/>
        <v>350</v>
      </c>
      <c r="O48" s="223">
        <f t="shared" si="24"/>
        <v>0.9546124726041042</v>
      </c>
      <c r="P48" s="179">
        <f t="shared" si="25"/>
        <v>1.8011556086869891</v>
      </c>
      <c r="Q48" s="179">
        <f t="shared" si="26"/>
        <v>0.90268794480555448</v>
      </c>
      <c r="R48" s="179">
        <f t="shared" si="27"/>
        <v>0.5660377358490567</v>
      </c>
    </row>
    <row r="49" spans="3:18" x14ac:dyDescent="0.2">
      <c r="C49" s="176">
        <v>43</v>
      </c>
      <c r="D49" s="6">
        <f t="shared" si="28"/>
        <v>27.48</v>
      </c>
      <c r="E49" s="454">
        <f t="shared" si="15"/>
        <v>15.899999999999999</v>
      </c>
      <c r="F49" s="223">
        <f t="shared" si="16"/>
        <v>0.36652835408022133</v>
      </c>
      <c r="G49" s="178">
        <f t="shared" si="17"/>
        <v>6.7987344398340257</v>
      </c>
      <c r="H49" s="223">
        <f t="shared" si="18"/>
        <v>1.3597468879668051</v>
      </c>
      <c r="I49" s="454">
        <f t="shared" si="19"/>
        <v>43.379999999999995</v>
      </c>
      <c r="J49" s="178">
        <f t="shared" si="20"/>
        <v>1.1031464850365731</v>
      </c>
      <c r="K49" s="178">
        <f t="shared" si="21"/>
        <v>1.2043083897779183</v>
      </c>
      <c r="L49" s="178">
        <f t="shared" si="22"/>
        <v>2.0814084623331572</v>
      </c>
      <c r="M49" s="454">
        <f t="shared" si="14"/>
        <v>304.3475883679688</v>
      </c>
      <c r="N49" s="203">
        <f t="shared" si="23"/>
        <v>350</v>
      </c>
      <c r="O49" s="223">
        <f t="shared" si="24"/>
        <v>0.95925706382137921</v>
      </c>
      <c r="P49" s="179">
        <f t="shared" si="25"/>
        <v>1.8099189883422251</v>
      </c>
      <c r="Q49" s="179">
        <f t="shared" si="26"/>
        <v>0.91149322661865495</v>
      </c>
      <c r="R49" s="179">
        <f t="shared" si="27"/>
        <v>0.5660377358490567</v>
      </c>
    </row>
    <row r="50" spans="3:18" x14ac:dyDescent="0.2">
      <c r="C50" s="176">
        <v>44</v>
      </c>
      <c r="D50" s="6">
        <f t="shared" si="28"/>
        <v>27.84</v>
      </c>
      <c r="E50" s="454">
        <f t="shared" si="15"/>
        <v>15.899999999999999</v>
      </c>
      <c r="F50" s="223">
        <f t="shared" si="16"/>
        <v>0.36351165980795613</v>
      </c>
      <c r="G50" s="178">
        <f t="shared" si="17"/>
        <v>6.8311111111111122</v>
      </c>
      <c r="H50" s="223">
        <f t="shared" si="18"/>
        <v>1.3662222222222224</v>
      </c>
      <c r="I50" s="454">
        <f t="shared" si="19"/>
        <v>43.739999999999995</v>
      </c>
      <c r="J50" s="178">
        <f t="shared" si="20"/>
        <v>1.0979180221210147</v>
      </c>
      <c r="K50" s="178">
        <f t="shared" si="21"/>
        <v>1.1831013169407487</v>
      </c>
      <c r="L50" s="178">
        <f t="shared" si="22"/>
        <v>2.0715434379641793</v>
      </c>
      <c r="M50" s="454">
        <f t="shared" si="14"/>
        <v>307.25319514301685</v>
      </c>
      <c r="N50" s="203">
        <f t="shared" si="23"/>
        <v>350</v>
      </c>
      <c r="O50" s="223">
        <f t="shared" si="24"/>
        <v>0.963825200862238</v>
      </c>
      <c r="P50" s="179">
        <f t="shared" si="25"/>
        <v>1.8185381148344115</v>
      </c>
      <c r="Q50" s="179">
        <f t="shared" si="26"/>
        <v>0.92019525349810394</v>
      </c>
      <c r="R50" s="179">
        <f t="shared" si="27"/>
        <v>0.5660377358490567</v>
      </c>
    </row>
    <row r="51" spans="3:18" x14ac:dyDescent="0.2">
      <c r="C51" s="176">
        <v>45</v>
      </c>
      <c r="D51" s="6">
        <f t="shared" si="28"/>
        <v>28.2</v>
      </c>
      <c r="E51" s="454">
        <f t="shared" si="15"/>
        <v>15.899999999999999</v>
      </c>
      <c r="F51" s="223">
        <f t="shared" si="16"/>
        <v>0.36054421768707484</v>
      </c>
      <c r="G51" s="178">
        <f t="shared" si="17"/>
        <v>6.8629591836734702</v>
      </c>
      <c r="H51" s="223">
        <f t="shared" si="18"/>
        <v>1.3725918367346941</v>
      </c>
      <c r="I51" s="454">
        <f t="shared" si="19"/>
        <v>44.099999999999994</v>
      </c>
      <c r="J51" s="178">
        <f t="shared" si="20"/>
        <v>1.0928230518756412</v>
      </c>
      <c r="K51" s="178">
        <f t="shared" si="21"/>
        <v>1.1625777147613205</v>
      </c>
      <c r="L51" s="178">
        <f t="shared" si="22"/>
        <v>2.0619302865578142</v>
      </c>
      <c r="M51" s="454">
        <f t="shared" si="14"/>
        <v>310.12483132028314</v>
      </c>
      <c r="N51" s="203">
        <f t="shared" si="23"/>
        <v>350</v>
      </c>
      <c r="O51" s="223">
        <f t="shared" si="24"/>
        <v>0.96831875607385798</v>
      </c>
      <c r="P51" s="179">
        <f t="shared" si="25"/>
        <v>1.8270165208940718</v>
      </c>
      <c r="Q51" s="179">
        <f t="shared" si="26"/>
        <v>0.92879554154023103</v>
      </c>
      <c r="R51" s="179">
        <f t="shared" si="27"/>
        <v>0.5660377358490567</v>
      </c>
    </row>
    <row r="52" spans="3:18" x14ac:dyDescent="0.2">
      <c r="C52" s="176">
        <v>46</v>
      </c>
      <c r="D52" s="6">
        <f t="shared" si="28"/>
        <v>28.560000000000002</v>
      </c>
      <c r="E52" s="454">
        <f t="shared" si="15"/>
        <v>15.899999999999999</v>
      </c>
      <c r="F52" s="223">
        <f t="shared" si="16"/>
        <v>0.35762483130904182</v>
      </c>
      <c r="G52" s="178">
        <f t="shared" si="17"/>
        <v>6.8942914979757077</v>
      </c>
      <c r="H52" s="223">
        <f t="shared" si="18"/>
        <v>1.3788582995951415</v>
      </c>
      <c r="I52" s="454">
        <f t="shared" si="19"/>
        <v>44.46</v>
      </c>
      <c r="J52" s="178">
        <f t="shared" si="20"/>
        <v>1.087856526258302</v>
      </c>
      <c r="K52" s="178">
        <f t="shared" si="21"/>
        <v>1.1427064351452751</v>
      </c>
      <c r="L52" s="178">
        <f t="shared" si="22"/>
        <v>2.0525594835062302</v>
      </c>
      <c r="M52" s="454">
        <f t="shared" si="14"/>
        <v>312.96299759051948</v>
      </c>
      <c r="N52" s="203">
        <f t="shared" si="23"/>
        <v>350</v>
      </c>
      <c r="O52" s="223">
        <f t="shared" si="24"/>
        <v>0.97273954116059369</v>
      </c>
      <c r="P52" s="179">
        <f t="shared" si="25"/>
        <v>1.835357624831309</v>
      </c>
      <c r="Q52" s="179">
        <f t="shared" si="26"/>
        <v>0.93729559026810239</v>
      </c>
      <c r="R52" s="179">
        <f t="shared" si="27"/>
        <v>0.5660377358490567</v>
      </c>
    </row>
    <row r="53" spans="3:18" x14ac:dyDescent="0.2">
      <c r="C53" s="176">
        <v>47</v>
      </c>
      <c r="D53" s="6">
        <f t="shared" si="28"/>
        <v>28.919999999999998</v>
      </c>
      <c r="E53" s="454">
        <f t="shared" si="15"/>
        <v>15.899999999999999</v>
      </c>
      <c r="F53" s="223">
        <f t="shared" si="16"/>
        <v>0.35475234270414996</v>
      </c>
      <c r="G53" s="178">
        <f t="shared" si="17"/>
        <v>6.9251204819277117</v>
      </c>
      <c r="H53" s="223">
        <f t="shared" si="18"/>
        <v>1.3850240963855422</v>
      </c>
      <c r="I53" s="454">
        <f t="shared" si="19"/>
        <v>44.819999999999993</v>
      </c>
      <c r="J53" s="178">
        <f t="shared" si="20"/>
        <v>1.0830136485816435</v>
      </c>
      <c r="K53" s="178">
        <f t="shared" si="21"/>
        <v>1.1234581416822029</v>
      </c>
      <c r="L53" s="178">
        <f t="shared" si="22"/>
        <v>2.0434219784559313</v>
      </c>
      <c r="M53" s="454">
        <f t="shared" si="14"/>
        <v>315.76818890017904</v>
      </c>
      <c r="N53" s="203">
        <f t="shared" si="23"/>
        <v>350</v>
      </c>
      <c r="O53" s="223">
        <f t="shared" si="24"/>
        <v>0.97708930961942997</v>
      </c>
      <c r="P53" s="179">
        <f t="shared" si="25"/>
        <v>1.8435647351310001</v>
      </c>
      <c r="Q53" s="179">
        <f t="shared" si="26"/>
        <v>0.945696882001135</v>
      </c>
      <c r="R53" s="179">
        <f t="shared" si="27"/>
        <v>0.5660377358490567</v>
      </c>
    </row>
    <row r="54" spans="3:18" x14ac:dyDescent="0.2">
      <c r="C54" s="176">
        <v>48</v>
      </c>
      <c r="D54" s="6">
        <f t="shared" si="28"/>
        <v>29.28</v>
      </c>
      <c r="E54" s="454">
        <f t="shared" si="15"/>
        <v>15.899999999999999</v>
      </c>
      <c r="F54" s="223">
        <f t="shared" si="16"/>
        <v>0.35192563081009293</v>
      </c>
      <c r="G54" s="178">
        <f t="shared" si="17"/>
        <v>6.9554581673306766</v>
      </c>
      <c r="H54" s="223">
        <f t="shared" si="18"/>
        <v>1.3910916334661354</v>
      </c>
      <c r="I54" s="454">
        <f t="shared" si="19"/>
        <v>45.18</v>
      </c>
      <c r="J54" s="178">
        <f t="shared" si="20"/>
        <v>1.0782898580609688</v>
      </c>
      <c r="K54" s="178">
        <f t="shared" si="21"/>
        <v>1.1048051824395173</v>
      </c>
      <c r="L54" s="178">
        <f t="shared" si="22"/>
        <v>2.0345091661527719</v>
      </c>
      <c r="M54" s="454">
        <f t="shared" si="14"/>
        <v>318.54089427151939</v>
      </c>
      <c r="N54" s="203">
        <f t="shared" si="23"/>
        <v>350</v>
      </c>
      <c r="O54" s="223">
        <f t="shared" si="24"/>
        <v>0.98136975905900203</v>
      </c>
      <c r="P54" s="179">
        <f t="shared" si="25"/>
        <v>1.851641054828306</v>
      </c>
      <c r="Q54" s="179">
        <f t="shared" si="26"/>
        <v>0.95400088131632088</v>
      </c>
      <c r="R54" s="179">
        <f t="shared" si="27"/>
        <v>0.5660377358490567</v>
      </c>
    </row>
    <row r="55" spans="3:18" x14ac:dyDescent="0.2">
      <c r="C55" s="176">
        <v>49</v>
      </c>
      <c r="D55" s="6">
        <f t="shared" si="28"/>
        <v>29.64</v>
      </c>
      <c r="E55" s="454">
        <f t="shared" si="15"/>
        <v>15.899999999999999</v>
      </c>
      <c r="F55" s="223">
        <f t="shared" si="16"/>
        <v>0.34914361001317523</v>
      </c>
      <c r="G55" s="178">
        <f t="shared" si="17"/>
        <v>6.9853162055335973</v>
      </c>
      <c r="H55" s="223">
        <f t="shared" si="18"/>
        <v>1.3970632411067194</v>
      </c>
      <c r="I55" s="454">
        <f t="shared" si="19"/>
        <v>45.54</v>
      </c>
      <c r="J55" s="178">
        <f t="shared" si="20"/>
        <v>1.0736808154881639</v>
      </c>
      <c r="K55" s="178">
        <f t="shared" si="21"/>
        <v>1.0867214731661579</v>
      </c>
      <c r="L55" s="178">
        <f t="shared" si="22"/>
        <v>2.02581285941163</v>
      </c>
      <c r="M55" s="454">
        <f t="shared" si="14"/>
        <v>321.28159665047104</v>
      </c>
      <c r="N55" s="203">
        <f t="shared" si="23"/>
        <v>350</v>
      </c>
      <c r="O55" s="223">
        <f t="shared" si="24"/>
        <v>0.98558253340862034</v>
      </c>
      <c r="P55" s="179">
        <f t="shared" si="25"/>
        <v>1.8595896856766425</v>
      </c>
      <c r="Q55" s="179">
        <f t="shared" si="26"/>
        <v>0.96220903459260576</v>
      </c>
      <c r="R55" s="179">
        <f t="shared" si="27"/>
        <v>0.5660377358490567</v>
      </c>
    </row>
    <row r="56" spans="3:18" x14ac:dyDescent="0.2">
      <c r="C56" s="176">
        <v>50</v>
      </c>
      <c r="D56" s="6">
        <f t="shared" si="28"/>
        <v>30</v>
      </c>
      <c r="E56" s="454">
        <f t="shared" si="15"/>
        <v>15.899999999999999</v>
      </c>
      <c r="F56" s="223">
        <f t="shared" si="16"/>
        <v>0.34640522875816993</v>
      </c>
      <c r="G56" s="178">
        <f t="shared" si="17"/>
        <v>7.014705882352942</v>
      </c>
      <c r="H56" s="223">
        <f t="shared" si="18"/>
        <v>1.4029411764705884</v>
      </c>
      <c r="I56" s="454">
        <f t="shared" si="19"/>
        <v>45.9</v>
      </c>
      <c r="J56" s="178">
        <f t="shared" si="20"/>
        <v>1.0691823899371069</v>
      </c>
      <c r="K56" s="178">
        <f t="shared" si="21"/>
        <v>1.0691823899371069</v>
      </c>
      <c r="L56" s="178">
        <f t="shared" si="22"/>
        <v>2.0173252640322774</v>
      </c>
      <c r="M56" s="454">
        <f t="shared" si="14"/>
        <v>323.99077277970008</v>
      </c>
      <c r="N56" s="203">
        <f t="shared" si="23"/>
        <v>350</v>
      </c>
      <c r="O56" s="223">
        <f t="shared" si="24"/>
        <v>0.98972922502334248</v>
      </c>
      <c r="P56" s="179">
        <f t="shared" si="25"/>
        <v>1.8674136321195145</v>
      </c>
      <c r="Q56" s="179">
        <f t="shared" si="26"/>
        <v>0.97032276963072794</v>
      </c>
      <c r="R56" s="179">
        <f t="shared" si="27"/>
        <v>0.5660377358490567</v>
      </c>
    </row>
    <row r="57" spans="3:18" x14ac:dyDescent="0.2">
      <c r="C57" s="176">
        <v>51</v>
      </c>
      <c r="D57" s="6">
        <f t="shared" si="28"/>
        <v>30.36</v>
      </c>
      <c r="E57" s="454">
        <f t="shared" si="15"/>
        <v>15.899999999999999</v>
      </c>
      <c r="F57" s="223">
        <f t="shared" si="16"/>
        <v>0.3437094682230869</v>
      </c>
      <c r="G57" s="178">
        <f t="shared" si="17"/>
        <v>7.0436381322957198</v>
      </c>
      <c r="H57" s="223">
        <f t="shared" si="18"/>
        <v>1.408727626459144</v>
      </c>
      <c r="I57" s="454">
        <f t="shared" si="19"/>
        <v>46.26</v>
      </c>
      <c r="J57" s="178">
        <f t="shared" si="20"/>
        <v>1.0647906464149286</v>
      </c>
      <c r="K57" s="178">
        <f t="shared" si="21"/>
        <v>1.0521646703704828</v>
      </c>
      <c r="L57" s="178">
        <f t="shared" si="22"/>
        <v>2.0090389554998653</v>
      </c>
      <c r="M57" s="454">
        <f t="shared" si="14"/>
        <v>326.66889309452074</v>
      </c>
      <c r="N57" s="203">
        <f t="shared" si="23"/>
        <v>350</v>
      </c>
      <c r="O57" s="223">
        <f t="shared" si="24"/>
        <v>0.99381137669075403</v>
      </c>
      <c r="P57" s="179">
        <f t="shared" si="25"/>
        <v>1.8751158050768946</v>
      </c>
      <c r="Q57" s="179">
        <f t="shared" si="26"/>
        <v>0.97834349534148157</v>
      </c>
      <c r="R57" s="179">
        <f t="shared" si="27"/>
        <v>0.5660377358490567</v>
      </c>
    </row>
    <row r="58" spans="3:18" x14ac:dyDescent="0.2">
      <c r="C58" s="176">
        <v>52</v>
      </c>
      <c r="D58" s="6">
        <f t="shared" si="28"/>
        <v>30.72</v>
      </c>
      <c r="E58" s="454">
        <f t="shared" si="15"/>
        <v>15.899999999999999</v>
      </c>
      <c r="F58" s="223">
        <f t="shared" si="16"/>
        <v>0.34105534105534102</v>
      </c>
      <c r="G58" s="178">
        <f t="shared" si="17"/>
        <v>7.0721235521235526</v>
      </c>
      <c r="H58" s="223">
        <f t="shared" si="18"/>
        <v>1.4144247104247105</v>
      </c>
      <c r="I58" s="454">
        <f t="shared" si="19"/>
        <v>46.62</v>
      </c>
      <c r="J58" s="178">
        <f t="shared" si="20"/>
        <v>1.0605018343815515</v>
      </c>
      <c r="K58" s="178">
        <f t="shared" si="21"/>
        <v>1.035646322638234</v>
      </c>
      <c r="L58" s="178">
        <f t="shared" si="22"/>
        <v>2.0009468573236826</v>
      </c>
      <c r="M58" s="454">
        <f t="shared" si="14"/>
        <v>329.31642163951034</v>
      </c>
      <c r="N58" s="203">
        <f t="shared" si="23"/>
        <v>350</v>
      </c>
      <c r="O58" s="223">
        <f t="shared" si="24"/>
        <v>0.99783048354476944</v>
      </c>
      <c r="P58" s="179">
        <f t="shared" si="25"/>
        <v>1.8826990255561691</v>
      </c>
      <c r="Q58" s="179">
        <f t="shared" si="26"/>
        <v>0.98627260149598861</v>
      </c>
      <c r="R58" s="179">
        <f t="shared" si="27"/>
        <v>0.5660377358490567</v>
      </c>
    </row>
    <row r="59" spans="3:18" x14ac:dyDescent="0.2">
      <c r="C59" s="176">
        <v>53</v>
      </c>
      <c r="D59" s="6">
        <f t="shared" si="28"/>
        <v>31.080000000000002</v>
      </c>
      <c r="E59" s="454">
        <f t="shared" si="15"/>
        <v>15.899999999999999</v>
      </c>
      <c r="F59" s="223">
        <f t="shared" si="16"/>
        <v>0.33844189016602805</v>
      </c>
      <c r="G59" s="178">
        <f t="shared" si="17"/>
        <v>7.1001724137931026</v>
      </c>
      <c r="H59" s="223">
        <f t="shared" si="18"/>
        <v>1.4200344827586204</v>
      </c>
      <c r="I59" s="454">
        <f t="shared" si="19"/>
        <v>46.980000000000004</v>
      </c>
      <c r="J59" s="178">
        <f t="shared" si="20"/>
        <v>1.0563123770670941</v>
      </c>
      <c r="K59" s="178">
        <f t="shared" si="21"/>
        <v>1.019606541570554</v>
      </c>
      <c r="L59" s="178">
        <f t="shared" si="22"/>
        <v>1.9930422208813099</v>
      </c>
      <c r="M59" s="454">
        <f t="shared" si="14"/>
        <v>331.93381600387545</v>
      </c>
      <c r="N59" s="203">
        <f t="shared" si="23"/>
        <v>350</v>
      </c>
      <c r="O59" s="223">
        <f t="shared" si="24"/>
        <v>1.0017879948914432</v>
      </c>
      <c r="P59" s="179">
        <f t="shared" si="25"/>
        <v>1.8901660280970627</v>
      </c>
      <c r="Q59" s="179">
        <f t="shared" si="26"/>
        <v>0.99411145853212191</v>
      </c>
      <c r="R59" s="179">
        <f t="shared" si="27"/>
        <v>0.5660377358490567</v>
      </c>
    </row>
    <row r="60" spans="3:18" x14ac:dyDescent="0.2">
      <c r="C60" s="176">
        <v>54</v>
      </c>
      <c r="D60" s="6">
        <f t="shared" si="28"/>
        <v>31.44</v>
      </c>
      <c r="E60" s="454">
        <f t="shared" si="15"/>
        <v>15.899999999999999</v>
      </c>
      <c r="F60" s="223">
        <f t="shared" si="16"/>
        <v>0.33586818757921416</v>
      </c>
      <c r="G60" s="178">
        <f t="shared" si="17"/>
        <v>7.1277946768060847</v>
      </c>
      <c r="H60" s="223">
        <f t="shared" si="18"/>
        <v>1.425558935361217</v>
      </c>
      <c r="I60" s="454">
        <f t="shared" si="19"/>
        <v>47.34</v>
      </c>
      <c r="J60" s="178">
        <f t="shared" si="20"/>
        <v>1.0522188615231969</v>
      </c>
      <c r="K60" s="178">
        <f t="shared" si="21"/>
        <v>1.0040256312244245</v>
      </c>
      <c r="L60" s="178">
        <f t="shared" si="22"/>
        <v>1.9853186066475417</v>
      </c>
      <c r="M60" s="454">
        <f t="shared" si="14"/>
        <v>334.52152727377864</v>
      </c>
      <c r="N60" s="203">
        <f t="shared" si="23"/>
        <v>350</v>
      </c>
      <c r="O60" s="223">
        <f t="shared" si="24"/>
        <v>1.0056853159514758</v>
      </c>
      <c r="P60" s="179">
        <f t="shared" si="25"/>
        <v>1.8975194640593884</v>
      </c>
      <c r="Q60" s="179">
        <f t="shared" si="26"/>
        <v>1.0018614174117366</v>
      </c>
      <c r="R60" s="179">
        <f t="shared" si="27"/>
        <v>0.5660377358490567</v>
      </c>
    </row>
    <row r="61" spans="3:18" x14ac:dyDescent="0.2">
      <c r="C61" s="176">
        <v>55</v>
      </c>
      <c r="D61" s="6">
        <f t="shared" si="28"/>
        <v>31.8</v>
      </c>
      <c r="E61" s="454">
        <f t="shared" si="15"/>
        <v>15.899999999999999</v>
      </c>
      <c r="F61" s="223">
        <f t="shared" si="16"/>
        <v>0.33333333333333326</v>
      </c>
      <c r="G61" s="178">
        <f t="shared" si="17"/>
        <v>7.1549999999999985</v>
      </c>
      <c r="H61" s="223">
        <f t="shared" si="18"/>
        <v>1.4309999999999996</v>
      </c>
      <c r="I61" s="454">
        <f t="shared" si="19"/>
        <v>47.7</v>
      </c>
      <c r="J61" s="178">
        <f t="shared" si="20"/>
        <v>1.0482180293501051</v>
      </c>
      <c r="K61" s="178">
        <f t="shared" si="21"/>
        <v>0.98888493334915595</v>
      </c>
      <c r="L61" s="178">
        <f t="shared" si="22"/>
        <v>1.9777698666983119</v>
      </c>
      <c r="M61" s="454">
        <f t="shared" si="14"/>
        <v>337.07999999999981</v>
      </c>
      <c r="N61" s="203">
        <f t="shared" si="23"/>
        <v>350</v>
      </c>
      <c r="O61" s="223">
        <f t="shared" si="24"/>
        <v>1.0095238095238095</v>
      </c>
      <c r="P61" s="179">
        <f t="shared" si="25"/>
        <v>1.9047619047619049</v>
      </c>
      <c r="Q61" s="179">
        <f t="shared" si="26"/>
        <v>1.0095238095238095</v>
      </c>
      <c r="R61" s="179">
        <f t="shared" si="27"/>
        <v>0.5660377358490567</v>
      </c>
    </row>
    <row r="62" spans="3:18" x14ac:dyDescent="0.2">
      <c r="C62" s="176">
        <v>56</v>
      </c>
      <c r="D62" s="6">
        <f t="shared" si="28"/>
        <v>32.160000000000004</v>
      </c>
      <c r="E62" s="454">
        <f t="shared" si="15"/>
        <v>15.899999999999999</v>
      </c>
      <c r="F62" s="223">
        <f t="shared" si="16"/>
        <v>0.33083645443196003</v>
      </c>
      <c r="G62" s="178">
        <f t="shared" si="17"/>
        <v>7.1817977528089898</v>
      </c>
      <c r="H62" s="223">
        <f t="shared" si="18"/>
        <v>1.4363595505617979</v>
      </c>
      <c r="I62" s="454">
        <f t="shared" si="19"/>
        <v>48.06</v>
      </c>
      <c r="J62" s="178">
        <f t="shared" si="20"/>
        <v>1.0443067680465596</v>
      </c>
      <c r="K62" s="178">
        <f t="shared" si="21"/>
        <v>0.97416676123746226</v>
      </c>
      <c r="L62" s="178">
        <f t="shared" si="22"/>
        <v>1.9703901283897356</v>
      </c>
      <c r="M62" s="454">
        <f t="shared" si="14"/>
        <v>339.60967217943858</v>
      </c>
      <c r="N62" s="203">
        <f t="shared" si="23"/>
        <v>350</v>
      </c>
      <c r="O62" s="223">
        <f t="shared" si="24"/>
        <v>1.0133047975744605</v>
      </c>
      <c r="P62" s="179">
        <f t="shared" si="25"/>
        <v>1.9118958444801144</v>
      </c>
      <c r="Q62" s="179">
        <f t="shared" si="26"/>
        <v>1.0170999466290467</v>
      </c>
      <c r="R62" s="179">
        <f t="shared" si="27"/>
        <v>0.5660377358490567</v>
      </c>
    </row>
    <row r="63" spans="3:18" x14ac:dyDescent="0.2">
      <c r="C63" s="176">
        <v>57</v>
      </c>
      <c r="D63" s="6">
        <f t="shared" si="28"/>
        <v>32.519999999999996</v>
      </c>
      <c r="E63" s="454">
        <f t="shared" si="15"/>
        <v>15.899999999999999</v>
      </c>
      <c r="F63" s="223">
        <f t="shared" si="16"/>
        <v>0.32837670384138784</v>
      </c>
      <c r="G63" s="178">
        <f t="shared" si="17"/>
        <v>7.2081970260223036</v>
      </c>
      <c r="H63" s="223">
        <f t="shared" si="18"/>
        <v>1.4416394052044608</v>
      </c>
      <c r="I63" s="454">
        <f t="shared" si="19"/>
        <v>48.419999999999995</v>
      </c>
      <c r="J63" s="178">
        <f t="shared" si="20"/>
        <v>1.040482102934237</v>
      </c>
      <c r="K63" s="178">
        <f t="shared" si="21"/>
        <v>0.95985433850021873</v>
      </c>
      <c r="L63" s="178">
        <f t="shared" si="22"/>
        <v>1.9631737791212018</v>
      </c>
      <c r="M63" s="454">
        <f t="shared" si="14"/>
        <v>342.1109752490982</v>
      </c>
      <c r="N63" s="203">
        <f t="shared" si="23"/>
        <v>350</v>
      </c>
      <c r="O63" s="223">
        <f t="shared" si="24"/>
        <v>1.0170295627544699</v>
      </c>
      <c r="P63" s="179">
        <f t="shared" si="25"/>
        <v>1.9189237033103208</v>
      </c>
      <c r="Q63" s="179">
        <f t="shared" si="26"/>
        <v>1.0245911208418639</v>
      </c>
      <c r="R63" s="179">
        <f t="shared" si="27"/>
        <v>0.5660377358490567</v>
      </c>
    </row>
    <row r="64" spans="3:18" x14ac:dyDescent="0.2">
      <c r="C64" s="176">
        <v>58</v>
      </c>
      <c r="D64" s="6">
        <f t="shared" si="28"/>
        <v>32.879999999999995</v>
      </c>
      <c r="E64" s="454">
        <f t="shared" si="15"/>
        <v>15.899999999999999</v>
      </c>
      <c r="F64" s="223">
        <f t="shared" si="16"/>
        <v>0.32595325953259535</v>
      </c>
      <c r="G64" s="178">
        <f t="shared" si="17"/>
        <v>7.2342066420664208</v>
      </c>
      <c r="H64" s="223">
        <f t="shared" si="18"/>
        <v>1.4468413284132842</v>
      </c>
      <c r="I64" s="454">
        <f t="shared" si="19"/>
        <v>48.779999999999994</v>
      </c>
      <c r="J64" s="178">
        <f t="shared" si="20"/>
        <v>1.036741189612695</v>
      </c>
      <c r="K64" s="178">
        <f t="shared" si="21"/>
        <v>0.94593174234734956</v>
      </c>
      <c r="L64" s="178">
        <f t="shared" si="22"/>
        <v>1.9561154520994246</v>
      </c>
      <c r="M64" s="454">
        <f t="shared" si="14"/>
        <v>344.58433409131135</v>
      </c>
      <c r="N64" s="203">
        <f t="shared" si="23"/>
        <v>350</v>
      </c>
      <c r="O64" s="223">
        <f t="shared" si="24"/>
        <v>1.0206993498506414</v>
      </c>
      <c r="P64" s="179">
        <f t="shared" si="25"/>
        <v>1.9258478299068709</v>
      </c>
      <c r="Q64" s="179">
        <f t="shared" si="26"/>
        <v>1.0319986046460361</v>
      </c>
      <c r="R64" s="179">
        <f t="shared" si="27"/>
        <v>0.5660377358490567</v>
      </c>
    </row>
    <row r="65" spans="3:18" x14ac:dyDescent="0.2">
      <c r="C65" s="176">
        <v>59</v>
      </c>
      <c r="D65" s="6">
        <f t="shared" si="28"/>
        <v>33.239999999999995</v>
      </c>
      <c r="E65" s="454">
        <f t="shared" si="15"/>
        <v>15.899999999999999</v>
      </c>
      <c r="F65" s="223">
        <f t="shared" si="16"/>
        <v>0.32356532356532358</v>
      </c>
      <c r="G65" s="178">
        <f t="shared" si="17"/>
        <v>7.259835164835164</v>
      </c>
      <c r="H65" s="223">
        <f t="shared" si="18"/>
        <v>1.4519670329670329</v>
      </c>
      <c r="I65" s="454">
        <f t="shared" si="19"/>
        <v>49.139999999999993</v>
      </c>
      <c r="J65" s="178">
        <f t="shared" si="20"/>
        <v>1.0330813069046159</v>
      </c>
      <c r="K65" s="178">
        <f t="shared" si="21"/>
        <v>0.93238385099694587</v>
      </c>
      <c r="L65" s="178">
        <f t="shared" si="22"/>
        <v>1.9492100130275773</v>
      </c>
      <c r="M65" s="454">
        <f t="shared" si="14"/>
        <v>347.03016704906815</v>
      </c>
      <c r="N65" s="203">
        <f t="shared" si="23"/>
        <v>350</v>
      </c>
      <c r="O65" s="223">
        <f t="shared" si="24"/>
        <v>1.02431536717251</v>
      </c>
      <c r="P65" s="179">
        <f t="shared" si="25"/>
        <v>1.9326705040990761</v>
      </c>
      <c r="Q65" s="179">
        <f t="shared" si="26"/>
        <v>1.0393236509406059</v>
      </c>
      <c r="R65" s="179">
        <f t="shared" si="27"/>
        <v>0.5660377358490567</v>
      </c>
    </row>
    <row r="66" spans="3:18" x14ac:dyDescent="0.2">
      <c r="C66" s="176">
        <v>60</v>
      </c>
      <c r="D66" s="6">
        <f t="shared" si="28"/>
        <v>33.599999999999994</v>
      </c>
      <c r="E66" s="454">
        <f t="shared" si="15"/>
        <v>15.899999999999999</v>
      </c>
      <c r="F66" s="223">
        <f t="shared" si="16"/>
        <v>0.32121212121212123</v>
      </c>
      <c r="G66" s="178">
        <f t="shared" si="17"/>
        <v>7.2850909090909086</v>
      </c>
      <c r="H66" s="223">
        <f t="shared" si="18"/>
        <v>1.4570181818181818</v>
      </c>
      <c r="I66" s="454">
        <f t="shared" si="19"/>
        <v>49.499999999999993</v>
      </c>
      <c r="J66" s="178">
        <f t="shared" si="20"/>
        <v>1.0294998502545674</v>
      </c>
      <c r="K66" s="178">
        <f t="shared" si="21"/>
        <v>0.91919629487014964</v>
      </c>
      <c r="L66" s="178">
        <f t="shared" si="22"/>
        <v>1.9424525476501273</v>
      </c>
      <c r="M66" s="454">
        <f t="shared" si="14"/>
        <v>349.44888595041311</v>
      </c>
      <c r="N66" s="203">
        <f t="shared" si="23"/>
        <v>350</v>
      </c>
      <c r="O66" s="223">
        <f t="shared" si="24"/>
        <v>1.0278787878787878</v>
      </c>
      <c r="P66" s="179">
        <f t="shared" si="25"/>
        <v>1.9393939393939394</v>
      </c>
      <c r="Q66" s="179">
        <f t="shared" si="26"/>
        <v>1.0465674931129476</v>
      </c>
      <c r="R66" s="179">
        <f t="shared" si="27"/>
        <v>0.5660377358490567</v>
      </c>
    </row>
    <row r="67" spans="3:18" x14ac:dyDescent="0.2">
      <c r="C67" s="176">
        <v>61</v>
      </c>
      <c r="D67" s="6">
        <f t="shared" si="28"/>
        <v>33.96</v>
      </c>
      <c r="E67" s="454">
        <f t="shared" si="15"/>
        <v>15.899999999999999</v>
      </c>
      <c r="F67" s="223">
        <f t="shared" si="16"/>
        <v>0.31889290012033694</v>
      </c>
      <c r="G67" s="178">
        <f t="shared" si="17"/>
        <v>7.3099819494584839</v>
      </c>
      <c r="H67" s="223">
        <f t="shared" si="18"/>
        <v>1.4619963898916968</v>
      </c>
      <c r="I67" s="454">
        <f t="shared" si="19"/>
        <v>49.86</v>
      </c>
      <c r="J67" s="178">
        <f t="shared" si="20"/>
        <v>1.0259943255476291</v>
      </c>
      <c r="K67" s="178">
        <f t="shared" si="21"/>
        <v>0.90635541126115649</v>
      </c>
      <c r="L67" s="178">
        <f t="shared" si="22"/>
        <v>1.9358383500898666</v>
      </c>
      <c r="M67" s="454">
        <f t="shared" si="14"/>
        <v>350</v>
      </c>
      <c r="N67" s="203">
        <f t="shared" si="23"/>
        <v>350</v>
      </c>
      <c r="O67" s="223">
        <f t="shared" si="24"/>
        <v>1.0313907512463469</v>
      </c>
      <c r="P67" s="179">
        <f t="shared" si="25"/>
        <v>1.9460202853704658</v>
      </c>
      <c r="Q67" s="179">
        <f t="shared" si="26"/>
        <v>1.0537313451361594</v>
      </c>
      <c r="R67" s="179">
        <f t="shared" si="27"/>
        <v>0.5660377358490567</v>
      </c>
    </row>
    <row r="68" spans="3:18" x14ac:dyDescent="0.2">
      <c r="C68" s="176">
        <v>62</v>
      </c>
      <c r="D68" s="6">
        <f t="shared" si="28"/>
        <v>34.32</v>
      </c>
      <c r="E68" s="454">
        <f t="shared" si="15"/>
        <v>15.899999999999999</v>
      </c>
      <c r="F68" s="223">
        <f t="shared" si="16"/>
        <v>0.31660692951015529</v>
      </c>
      <c r="G68" s="178">
        <f t="shared" si="17"/>
        <v>7.3345161290322576</v>
      </c>
      <c r="H68" s="223">
        <f t="shared" si="18"/>
        <v>1.4669032258064516</v>
      </c>
      <c r="I68" s="454">
        <f t="shared" si="19"/>
        <v>50.22</v>
      </c>
      <c r="J68" s="178">
        <f t="shared" si="20"/>
        <v>1.0225623433170603</v>
      </c>
      <c r="K68" s="178">
        <f t="shared" si="21"/>
        <v>0.89384820220022754</v>
      </c>
      <c r="L68" s="178">
        <f t="shared" si="22"/>
        <v>1.9293629119189819</v>
      </c>
      <c r="M68" s="454">
        <f t="shared" si="14"/>
        <v>350</v>
      </c>
      <c r="N68" s="203">
        <f t="shared" si="23"/>
        <v>350</v>
      </c>
      <c r="O68" s="223">
        <f t="shared" si="24"/>
        <v>1.0348523638846221</v>
      </c>
      <c r="P68" s="179">
        <f t="shared" si="25"/>
        <v>1.9525516299709855</v>
      </c>
      <c r="Q68" s="179">
        <f t="shared" si="26"/>
        <v>1.0608164016881794</v>
      </c>
      <c r="R68" s="179">
        <f t="shared" si="27"/>
        <v>0.5660377358490567</v>
      </c>
    </row>
    <row r="69" spans="3:18" x14ac:dyDescent="0.2">
      <c r="C69" s="176">
        <v>63</v>
      </c>
      <c r="D69" s="6">
        <f t="shared" si="28"/>
        <v>34.68</v>
      </c>
      <c r="E69" s="454">
        <f t="shared" si="15"/>
        <v>15.899999999999999</v>
      </c>
      <c r="F69" s="223">
        <f t="shared" si="16"/>
        <v>0.31435349940688018</v>
      </c>
      <c r="G69" s="178">
        <f t="shared" si="17"/>
        <v>7.358701067615657</v>
      </c>
      <c r="H69" s="223">
        <f t="shared" si="18"/>
        <v>1.4717402135231314</v>
      </c>
      <c r="I69" s="454">
        <f t="shared" si="19"/>
        <v>50.58</v>
      </c>
      <c r="J69" s="178">
        <f t="shared" si="20"/>
        <v>1.0192016133127317</v>
      </c>
      <c r="K69" s="178">
        <f t="shared" si="21"/>
        <v>0.88166229525322826</v>
      </c>
      <c r="L69" s="178">
        <f t="shared" si="22"/>
        <v>1.923021911910815</v>
      </c>
      <c r="M69" s="454">
        <f t="shared" si="14"/>
        <v>350</v>
      </c>
      <c r="N69" s="203">
        <f t="shared" si="23"/>
        <v>350</v>
      </c>
      <c r="O69" s="223">
        <f t="shared" si="24"/>
        <v>1.0382647008981529</v>
      </c>
      <c r="P69" s="179">
        <f t="shared" si="25"/>
        <v>1.9589900016946287</v>
      </c>
      <c r="Q69" s="179">
        <f t="shared" si="26"/>
        <v>1.0678238382902714</v>
      </c>
      <c r="R69" s="179">
        <f t="shared" si="27"/>
        <v>0.5660377358490567</v>
      </c>
    </row>
    <row r="70" spans="3:18" x14ac:dyDescent="0.2">
      <c r="C70" s="176">
        <v>64</v>
      </c>
      <c r="D70" s="6">
        <f t="shared" si="28"/>
        <v>35.04</v>
      </c>
      <c r="E70" s="454">
        <f t="shared" ref="E70:E106" si="29">(Vout+Vfwd1)*Nps</f>
        <v>15.899999999999999</v>
      </c>
      <c r="F70" s="223">
        <f t="shared" ref="F70:F106" si="30">(Vout+Vfwd1)*Nps/((Vout+Vfwd1)*Nps+D70)</f>
        <v>0.31213191990577149</v>
      </c>
      <c r="G70" s="178">
        <f t="shared" ref="G70:G101" si="31">F70*D70*Isw_max*0.5*Efficiency</f>
        <v>7.3825441696113074</v>
      </c>
      <c r="H70" s="223">
        <f t="shared" ref="H70:H101" si="32">G70/Vout</f>
        <v>1.4765088339222614</v>
      </c>
      <c r="I70" s="454">
        <f t="shared" ref="I70:I106" si="33">(Vout+Vfwd1)*Nps+D70</f>
        <v>50.94</v>
      </c>
      <c r="J70" s="178">
        <f t="shared" ref="J70:J106" si="34">MIN(2*Vout*Iout/(Efficiency*D70*F70), 1.35)</f>
        <v>1.0159099394043825</v>
      </c>
      <c r="K70" s="178">
        <f t="shared" ref="K70:K101" si="35">L*J70/D70*1000000</f>
        <v>0.86978590702430014</v>
      </c>
      <c r="L70" s="178">
        <f t="shared" ref="L70:L106" si="36">L*J70/((Vout+Vfwd1)*Nps)*1000000</f>
        <v>1.9168112064233633</v>
      </c>
      <c r="M70" s="454">
        <f t="shared" si="14"/>
        <v>350</v>
      </c>
      <c r="N70" s="203">
        <f t="shared" ref="N70:N106" si="37">IF(1/((350000*L)*(1/D70+1/E70))&gt;Isw_min, 350, 0.001/((Isw_min*L)*(1/D70+1/E70)))</f>
        <v>350</v>
      </c>
      <c r="O70" s="223">
        <f t="shared" ref="O70:O101" si="38">1/((N70*1000*L)*(1/D70+1/E70))</f>
        <v>1.0416288069998318</v>
      </c>
      <c r="P70" s="179">
        <f t="shared" ref="P70:P101" si="39">L*O70/E70*1000000</f>
        <v>1.9653373716977962</v>
      </c>
      <c r="Q70" s="179">
        <f t="shared" ref="Q70:Q101" si="40">0.5*P70*O70*Nps*N70/1000</f>
        <v>1.0747548114627243</v>
      </c>
      <c r="R70" s="179">
        <f t="shared" ref="R70:R106" si="41">L*Isw_min/E70*1000000</f>
        <v>0.5660377358490567</v>
      </c>
    </row>
    <row r="71" spans="3:18" x14ac:dyDescent="0.2">
      <c r="C71" s="176">
        <v>65</v>
      </c>
      <c r="D71" s="6">
        <f t="shared" ref="D71:D102" si="42">C71/100*(VIN_max-VIN_min)+VIN_min</f>
        <v>35.400000000000006</v>
      </c>
      <c r="E71" s="454">
        <f t="shared" si="29"/>
        <v>15.899999999999999</v>
      </c>
      <c r="F71" s="223">
        <f t="shared" si="30"/>
        <v>0.30994152046783618</v>
      </c>
      <c r="G71" s="178">
        <f t="shared" si="31"/>
        <v>7.4060526315789481</v>
      </c>
      <c r="H71" s="223">
        <f t="shared" si="32"/>
        <v>1.4812105263157895</v>
      </c>
      <c r="I71" s="454">
        <f t="shared" si="33"/>
        <v>51.300000000000004</v>
      </c>
      <c r="J71" s="178">
        <f t="shared" si="34"/>
        <v>1.012685214795864</v>
      </c>
      <c r="K71" s="178">
        <f t="shared" si="35"/>
        <v>0.85820780914903716</v>
      </c>
      <c r="L71" s="178">
        <f t="shared" si="36"/>
        <v>1.9107268203695551</v>
      </c>
      <c r="M71" s="454">
        <f t="shared" ref="M71:M106" si="43">MIN(1/(K71+L71)*1000, 350)</f>
        <v>350</v>
      </c>
      <c r="N71" s="203">
        <f t="shared" si="37"/>
        <v>350</v>
      </c>
      <c r="O71" s="223">
        <f t="shared" si="38"/>
        <v>1.0449456975772764</v>
      </c>
      <c r="P71" s="179">
        <f t="shared" si="39"/>
        <v>1.9715956558061822</v>
      </c>
      <c r="Q71" s="179">
        <f t="shared" si="40"/>
        <v>1.0816104588957773</v>
      </c>
      <c r="R71" s="179">
        <f t="shared" si="41"/>
        <v>0.5660377358490567</v>
      </c>
    </row>
    <row r="72" spans="3:18" x14ac:dyDescent="0.2">
      <c r="C72" s="176">
        <v>66</v>
      </c>
      <c r="D72" s="6">
        <f t="shared" si="42"/>
        <v>35.760000000000005</v>
      </c>
      <c r="E72" s="454">
        <f t="shared" si="29"/>
        <v>15.899999999999999</v>
      </c>
      <c r="F72" s="223">
        <f t="shared" si="30"/>
        <v>0.30778164924506385</v>
      </c>
      <c r="G72" s="178">
        <f t="shared" si="31"/>
        <v>7.4292334494773531</v>
      </c>
      <c r="H72" s="223">
        <f t="shared" si="32"/>
        <v>1.4858466898954705</v>
      </c>
      <c r="I72" s="454">
        <f t="shared" si="33"/>
        <v>51.660000000000004</v>
      </c>
      <c r="J72" s="178">
        <f t="shared" si="34"/>
        <v>1.0095254175284567</v>
      </c>
      <c r="K72" s="178">
        <f t="shared" si="35"/>
        <v>0.84691729658427561</v>
      </c>
      <c r="L72" s="178">
        <f t="shared" si="36"/>
        <v>1.9047649387329375</v>
      </c>
      <c r="M72" s="454">
        <f t="shared" si="43"/>
        <v>350</v>
      </c>
      <c r="N72" s="203">
        <f t="shared" si="37"/>
        <v>350</v>
      </c>
      <c r="O72" s="223">
        <f t="shared" si="38"/>
        <v>1.0482163597146177</v>
      </c>
      <c r="P72" s="179">
        <f t="shared" si="39"/>
        <v>1.9777667164426753</v>
      </c>
      <c r="Q72" s="179">
        <f t="shared" si="40"/>
        <v>1.0883918996339936</v>
      </c>
      <c r="R72" s="179">
        <f t="shared" si="41"/>
        <v>0.5660377358490567</v>
      </c>
    </row>
    <row r="73" spans="3:18" x14ac:dyDescent="0.2">
      <c r="C73" s="176">
        <v>67</v>
      </c>
      <c r="D73" s="6">
        <f t="shared" si="42"/>
        <v>36.120000000000005</v>
      </c>
      <c r="E73" s="454">
        <f t="shared" si="29"/>
        <v>15.899999999999999</v>
      </c>
      <c r="F73" s="223">
        <f t="shared" si="30"/>
        <v>0.3056516724336793</v>
      </c>
      <c r="G73" s="178">
        <f t="shared" si="31"/>
        <v>7.4520934256055362</v>
      </c>
      <c r="H73" s="223">
        <f t="shared" si="32"/>
        <v>1.4904186851211072</v>
      </c>
      <c r="I73" s="454">
        <f t="shared" si="33"/>
        <v>52.02</v>
      </c>
      <c r="J73" s="178">
        <f t="shared" si="34"/>
        <v>1.0064286062530907</v>
      </c>
      <c r="K73" s="178">
        <f t="shared" si="35"/>
        <v>0.83590415801751716</v>
      </c>
      <c r="L73" s="178">
        <f t="shared" si="36"/>
        <v>1.8989218985907372</v>
      </c>
      <c r="M73" s="454">
        <f t="shared" si="43"/>
        <v>350</v>
      </c>
      <c r="N73" s="203">
        <f t="shared" si="37"/>
        <v>350</v>
      </c>
      <c r="O73" s="223">
        <f t="shared" si="38"/>
        <v>1.051441753171857</v>
      </c>
      <c r="P73" s="179">
        <f t="shared" si="39"/>
        <v>1.9838523644752022</v>
      </c>
      <c r="Q73" s="179">
        <f t="shared" si="40"/>
        <v>1.0951002342724185</v>
      </c>
      <c r="R73" s="179">
        <f t="shared" si="41"/>
        <v>0.5660377358490567</v>
      </c>
    </row>
    <row r="74" spans="3:18" x14ac:dyDescent="0.2">
      <c r="C74" s="176">
        <v>68</v>
      </c>
      <c r="D74" s="6">
        <f t="shared" si="42"/>
        <v>36.480000000000004</v>
      </c>
      <c r="E74" s="454">
        <f t="shared" si="29"/>
        <v>15.899999999999999</v>
      </c>
      <c r="F74" s="223">
        <f t="shared" si="30"/>
        <v>0.30355097365406641</v>
      </c>
      <c r="G74" s="178">
        <f t="shared" si="31"/>
        <v>7.4746391752577308</v>
      </c>
      <c r="H74" s="223">
        <f t="shared" si="32"/>
        <v>1.4949278350515462</v>
      </c>
      <c r="I74" s="454">
        <f t="shared" si="33"/>
        <v>52.38</v>
      </c>
      <c r="J74" s="178">
        <f t="shared" si="34"/>
        <v>1.0033929162528963</v>
      </c>
      <c r="K74" s="178">
        <f t="shared" si="35"/>
        <v>0.82515864823428975</v>
      </c>
      <c r="L74" s="178">
        <f t="shared" si="36"/>
        <v>1.8931941816092386</v>
      </c>
      <c r="M74" s="454">
        <f t="shared" si="43"/>
        <v>350</v>
      </c>
      <c r="N74" s="203">
        <f t="shared" si="37"/>
        <v>350</v>
      </c>
      <c r="O74" s="223">
        <f t="shared" si="38"/>
        <v>1.0546228113238423</v>
      </c>
      <c r="P74" s="179">
        <f t="shared" si="39"/>
        <v>1.9898543609883819</v>
      </c>
      <c r="Q74" s="179">
        <f t="shared" si="40"/>
        <v>1.1017365451630516</v>
      </c>
      <c r="R74" s="179">
        <f t="shared" si="41"/>
        <v>0.5660377358490567</v>
      </c>
    </row>
    <row r="75" spans="3:18" x14ac:dyDescent="0.2">
      <c r="C75" s="176">
        <v>69</v>
      </c>
      <c r="D75" s="6">
        <f t="shared" si="42"/>
        <v>36.839999999999996</v>
      </c>
      <c r="E75" s="454">
        <f t="shared" si="29"/>
        <v>15.899999999999999</v>
      </c>
      <c r="F75" s="223">
        <f t="shared" si="30"/>
        <v>0.30147895335608649</v>
      </c>
      <c r="G75" s="178">
        <f t="shared" si="31"/>
        <v>7.4968771331058024</v>
      </c>
      <c r="H75" s="223">
        <f t="shared" si="32"/>
        <v>1.4993754266211605</v>
      </c>
      <c r="I75" s="454">
        <f t="shared" si="33"/>
        <v>52.739999999999995</v>
      </c>
      <c r="J75" s="178">
        <f t="shared" si="34"/>
        <v>1.0004165556989599</v>
      </c>
      <c r="K75" s="178">
        <f t="shared" si="35"/>
        <v>0.81467146229557008</v>
      </c>
      <c r="L75" s="178">
        <f t="shared" si="36"/>
        <v>1.8875784069791699</v>
      </c>
      <c r="M75" s="454">
        <f t="shared" si="43"/>
        <v>350</v>
      </c>
      <c r="N75" s="203">
        <f t="shared" si="37"/>
        <v>350</v>
      </c>
      <c r="O75" s="223">
        <f t="shared" si="38"/>
        <v>1.0577604420607833</v>
      </c>
      <c r="P75" s="179">
        <f t="shared" si="39"/>
        <v>1.9957744189826101</v>
      </c>
      <c r="Q75" s="179">
        <f t="shared" si="40"/>
        <v>1.1083018966302405</v>
      </c>
      <c r="R75" s="179">
        <f t="shared" si="41"/>
        <v>0.5660377358490567</v>
      </c>
    </row>
    <row r="76" spans="3:18" x14ac:dyDescent="0.2">
      <c r="C76" s="176">
        <v>70</v>
      </c>
      <c r="D76" s="6">
        <f t="shared" si="42"/>
        <v>37.200000000000003</v>
      </c>
      <c r="E76" s="454">
        <f t="shared" si="29"/>
        <v>15.899999999999999</v>
      </c>
      <c r="F76" s="223">
        <f t="shared" si="30"/>
        <v>0.29943502824858753</v>
      </c>
      <c r="G76" s="178">
        <f t="shared" si="31"/>
        <v>7.5188135593220338</v>
      </c>
      <c r="H76" s="223">
        <f t="shared" si="32"/>
        <v>1.5037627118644068</v>
      </c>
      <c r="I76" s="454">
        <f t="shared" si="33"/>
        <v>53.1</v>
      </c>
      <c r="J76" s="178">
        <f t="shared" si="34"/>
        <v>0.99749780212348682</v>
      </c>
      <c r="K76" s="178">
        <f t="shared" si="35"/>
        <v>0.8044337113899086</v>
      </c>
      <c r="L76" s="178">
        <f t="shared" si="36"/>
        <v>1.8820713247612959</v>
      </c>
      <c r="M76" s="454">
        <f t="shared" si="43"/>
        <v>350</v>
      </c>
      <c r="N76" s="203">
        <f t="shared" si="37"/>
        <v>350</v>
      </c>
      <c r="O76" s="223">
        <f t="shared" si="38"/>
        <v>1.0608555286521388</v>
      </c>
      <c r="P76" s="179">
        <f t="shared" si="39"/>
        <v>2.0016142050040355</v>
      </c>
      <c r="Q76" s="179">
        <f t="shared" si="40"/>
        <v>1.114797335193773</v>
      </c>
      <c r="R76" s="179">
        <f t="shared" si="41"/>
        <v>0.5660377358490567</v>
      </c>
    </row>
    <row r="77" spans="3:18" x14ac:dyDescent="0.2">
      <c r="C77" s="176">
        <v>71</v>
      </c>
      <c r="D77" s="6">
        <f t="shared" si="42"/>
        <v>37.56</v>
      </c>
      <c r="E77" s="454">
        <f t="shared" si="29"/>
        <v>15.899999999999999</v>
      </c>
      <c r="F77" s="223">
        <f t="shared" si="30"/>
        <v>0.29741863075196406</v>
      </c>
      <c r="G77" s="178">
        <f t="shared" si="31"/>
        <v>7.5404545454545451</v>
      </c>
      <c r="H77" s="223">
        <f t="shared" si="32"/>
        <v>1.5080909090909089</v>
      </c>
      <c r="I77" s="454">
        <f t="shared" si="33"/>
        <v>53.46</v>
      </c>
      <c r="J77" s="178">
        <f t="shared" si="34"/>
        <v>0.99463499909578634</v>
      </c>
      <c r="K77" s="178">
        <f t="shared" si="35"/>
        <v>0.79443690023625102</v>
      </c>
      <c r="L77" s="178">
        <f t="shared" si="36"/>
        <v>1.8766698096146914</v>
      </c>
      <c r="M77" s="454">
        <f t="shared" si="43"/>
        <v>350</v>
      </c>
      <c r="N77" s="203">
        <f t="shared" si="37"/>
        <v>350</v>
      </c>
      <c r="O77" s="223">
        <f t="shared" si="38"/>
        <v>1.0639089305755973</v>
      </c>
      <c r="P77" s="179">
        <f t="shared" si="39"/>
        <v>2.0073753407086743</v>
      </c>
      <c r="Q77" s="179">
        <f t="shared" si="40"/>
        <v>1.1212238897985252</v>
      </c>
      <c r="R77" s="179">
        <f t="shared" si="41"/>
        <v>0.5660377358490567</v>
      </c>
    </row>
    <row r="78" spans="3:18" x14ac:dyDescent="0.2">
      <c r="C78" s="176">
        <v>72</v>
      </c>
      <c r="D78" s="6">
        <f t="shared" si="42"/>
        <v>37.92</v>
      </c>
      <c r="E78" s="454">
        <f t="shared" si="29"/>
        <v>15.899999999999999</v>
      </c>
      <c r="F78" s="223">
        <f t="shared" si="30"/>
        <v>0.29542920847268672</v>
      </c>
      <c r="G78" s="178">
        <f t="shared" si="31"/>
        <v>7.5618060200668893</v>
      </c>
      <c r="H78" s="223">
        <f t="shared" si="32"/>
        <v>1.5123612040133778</v>
      </c>
      <c r="I78" s="454">
        <f t="shared" si="33"/>
        <v>53.82</v>
      </c>
      <c r="J78" s="178">
        <f t="shared" si="34"/>
        <v>0.99182655308759926</v>
      </c>
      <c r="K78" s="178">
        <f t="shared" si="35"/>
        <v>0.78467290592373351</v>
      </c>
      <c r="L78" s="178">
        <f t="shared" si="36"/>
        <v>1.871370854882263</v>
      </c>
      <c r="M78" s="454">
        <f t="shared" si="43"/>
        <v>350</v>
      </c>
      <c r="N78" s="203">
        <f t="shared" si="37"/>
        <v>350</v>
      </c>
      <c r="O78" s="223">
        <f t="shared" si="38"/>
        <v>1.0669214843127888</v>
      </c>
      <c r="P78" s="179">
        <f t="shared" si="39"/>
        <v>2.0130594043637524</v>
      </c>
      <c r="Q78" s="179">
        <f t="shared" si="40"/>
        <v>1.1275825720496364</v>
      </c>
      <c r="R78" s="179">
        <f t="shared" si="41"/>
        <v>0.5660377358490567</v>
      </c>
    </row>
    <row r="79" spans="3:18" x14ac:dyDescent="0.2">
      <c r="C79" s="176">
        <v>73</v>
      </c>
      <c r="D79" s="6">
        <f t="shared" si="42"/>
        <v>38.28</v>
      </c>
      <c r="E79" s="454">
        <f t="shared" si="29"/>
        <v>15.899999999999999</v>
      </c>
      <c r="F79" s="223">
        <f t="shared" si="30"/>
        <v>0.29346622369878184</v>
      </c>
      <c r="G79" s="178">
        <f t="shared" si="31"/>
        <v>7.5828737541528248</v>
      </c>
      <c r="H79" s="223">
        <f t="shared" si="32"/>
        <v>1.5165747508305649</v>
      </c>
      <c r="I79" s="454">
        <f t="shared" si="33"/>
        <v>54.18</v>
      </c>
      <c r="J79" s="178">
        <f t="shared" si="34"/>
        <v>0.98907093051530248</v>
      </c>
      <c r="K79" s="178">
        <f t="shared" si="35"/>
        <v>0.7751339580840928</v>
      </c>
      <c r="L79" s="178">
        <f t="shared" si="36"/>
        <v>1.8661715670100048</v>
      </c>
      <c r="M79" s="454">
        <f t="shared" si="43"/>
        <v>350</v>
      </c>
      <c r="N79" s="203">
        <f t="shared" si="37"/>
        <v>350</v>
      </c>
      <c r="O79" s="223">
        <f t="shared" si="38"/>
        <v>1.0698940041132732</v>
      </c>
      <c r="P79" s="179">
        <f t="shared" si="39"/>
        <v>2.0186679322891949</v>
      </c>
      <c r="Q79" s="179">
        <f t="shared" si="40"/>
        <v>1.1338743764522727</v>
      </c>
      <c r="R79" s="179">
        <f t="shared" si="41"/>
        <v>0.5660377358490567</v>
      </c>
    </row>
    <row r="80" spans="3:18" x14ac:dyDescent="0.2">
      <c r="C80" s="176">
        <v>74</v>
      </c>
      <c r="D80" s="6">
        <f t="shared" si="42"/>
        <v>38.64</v>
      </c>
      <c r="E80" s="454">
        <f t="shared" si="29"/>
        <v>15.899999999999999</v>
      </c>
      <c r="F80" s="223">
        <f t="shared" si="30"/>
        <v>0.29152915291529152</v>
      </c>
      <c r="G80" s="178">
        <f t="shared" si="31"/>
        <v>7.603663366336634</v>
      </c>
      <c r="H80" s="223">
        <f t="shared" si="32"/>
        <v>1.5207326732673268</v>
      </c>
      <c r="I80" s="454">
        <f t="shared" si="33"/>
        <v>54.54</v>
      </c>
      <c r="J80" s="178">
        <f t="shared" si="34"/>
        <v>0.98636665494745879</v>
      </c>
      <c r="K80" s="178">
        <f t="shared" si="35"/>
        <v>0.76581262030082198</v>
      </c>
      <c r="L80" s="178">
        <f t="shared" si="36"/>
        <v>1.8610691602782243</v>
      </c>
      <c r="M80" s="454">
        <f t="shared" si="43"/>
        <v>350</v>
      </c>
      <c r="N80" s="203">
        <f t="shared" si="37"/>
        <v>350</v>
      </c>
      <c r="O80" s="223">
        <f t="shared" si="38"/>
        <v>1.072827282728273</v>
      </c>
      <c r="P80" s="179">
        <f t="shared" si="39"/>
        <v>2.0242024202420246</v>
      </c>
      <c r="Q80" s="179">
        <f t="shared" si="40"/>
        <v>1.1401002806551288</v>
      </c>
      <c r="R80" s="179">
        <f t="shared" si="41"/>
        <v>0.5660377358490567</v>
      </c>
    </row>
    <row r="81" spans="3:18" x14ac:dyDescent="0.2">
      <c r="C81" s="176">
        <v>75</v>
      </c>
      <c r="D81" s="6">
        <f t="shared" si="42"/>
        <v>39</v>
      </c>
      <c r="E81" s="454">
        <f t="shared" si="29"/>
        <v>15.899999999999999</v>
      </c>
      <c r="F81" s="223">
        <f t="shared" si="30"/>
        <v>0.2896174863387978</v>
      </c>
      <c r="G81" s="178">
        <f t="shared" si="31"/>
        <v>7.6241803278688529</v>
      </c>
      <c r="H81" s="223">
        <f t="shared" si="32"/>
        <v>1.5248360655737705</v>
      </c>
      <c r="I81" s="454">
        <f t="shared" si="33"/>
        <v>54.9</v>
      </c>
      <c r="J81" s="178">
        <f t="shared" si="34"/>
        <v>0.9837123044670214</v>
      </c>
      <c r="K81" s="178">
        <f t="shared" si="35"/>
        <v>0.7567017726669395</v>
      </c>
      <c r="L81" s="178">
        <f t="shared" si="36"/>
        <v>1.856060951824569</v>
      </c>
      <c r="M81" s="454">
        <f t="shared" si="43"/>
        <v>350</v>
      </c>
      <c r="N81" s="203">
        <f t="shared" si="37"/>
        <v>350</v>
      </c>
      <c r="O81" s="223">
        <f t="shared" si="38"/>
        <v>1.0757220921155348</v>
      </c>
      <c r="P81" s="179">
        <f t="shared" si="39"/>
        <v>2.0296643247462924</v>
      </c>
      <c r="Q81" s="179">
        <f t="shared" si="40"/>
        <v>1.1462612456968815</v>
      </c>
      <c r="R81" s="179">
        <f t="shared" si="41"/>
        <v>0.5660377358490567</v>
      </c>
    </row>
    <row r="82" spans="3:18" x14ac:dyDescent="0.2">
      <c r="C82" s="176">
        <v>76</v>
      </c>
      <c r="D82" s="6">
        <f t="shared" si="42"/>
        <v>39.36</v>
      </c>
      <c r="E82" s="454">
        <f t="shared" si="29"/>
        <v>15.899999999999999</v>
      </c>
      <c r="F82" s="223">
        <f t="shared" si="30"/>
        <v>0.28773072747014111</v>
      </c>
      <c r="G82" s="178">
        <f t="shared" si="31"/>
        <v>7.64442996742671</v>
      </c>
      <c r="H82" s="223">
        <f t="shared" si="32"/>
        <v>1.528885993485342</v>
      </c>
      <c r="I82" s="454">
        <f t="shared" si="33"/>
        <v>55.26</v>
      </c>
      <c r="J82" s="178">
        <f t="shared" si="34"/>
        <v>0.98110650917829945</v>
      </c>
      <c r="K82" s="178">
        <f t="shared" si="35"/>
        <v>0.74779459541028925</v>
      </c>
      <c r="L82" s="178">
        <f t="shared" si="36"/>
        <v>1.8511443569401878</v>
      </c>
      <c r="M82" s="454">
        <f t="shared" si="43"/>
        <v>350</v>
      </c>
      <c r="N82" s="203">
        <f t="shared" si="37"/>
        <v>350</v>
      </c>
      <c r="O82" s="223">
        <f t="shared" si="38"/>
        <v>1.0785791841166434</v>
      </c>
      <c r="P82" s="179">
        <f t="shared" si="39"/>
        <v>2.0350550643710252</v>
      </c>
      <c r="Q82" s="179">
        <f t="shared" si="40"/>
        <v>1.1523582162549153</v>
      </c>
      <c r="R82" s="179">
        <f t="shared" si="41"/>
        <v>0.5660377358490567</v>
      </c>
    </row>
    <row r="83" spans="3:18" x14ac:dyDescent="0.2">
      <c r="C83" s="176">
        <v>77</v>
      </c>
      <c r="D83" s="6">
        <f t="shared" si="42"/>
        <v>39.72</v>
      </c>
      <c r="E83" s="454">
        <f t="shared" si="29"/>
        <v>15.899999999999999</v>
      </c>
      <c r="F83" s="223">
        <f t="shared" si="30"/>
        <v>0.28586839266450914</v>
      </c>
      <c r="G83" s="178">
        <f t="shared" si="31"/>
        <v>7.664417475728154</v>
      </c>
      <c r="H83" s="223">
        <f t="shared" si="32"/>
        <v>1.5328834951456307</v>
      </c>
      <c r="I83" s="454">
        <f t="shared" si="33"/>
        <v>55.62</v>
      </c>
      <c r="J83" s="178">
        <f t="shared" si="34"/>
        <v>0.9785479488494937</v>
      </c>
      <c r="K83" s="178">
        <f t="shared" si="35"/>
        <v>0.73908455351170221</v>
      </c>
      <c r="L83" s="178">
        <f t="shared" si="36"/>
        <v>1.8463168846216864</v>
      </c>
      <c r="M83" s="454">
        <f t="shared" si="43"/>
        <v>350</v>
      </c>
      <c r="N83" s="203">
        <f t="shared" si="37"/>
        <v>350</v>
      </c>
      <c r="O83" s="223">
        <f t="shared" si="38"/>
        <v>1.081399291108029</v>
      </c>
      <c r="P83" s="179">
        <f t="shared" si="39"/>
        <v>2.0403760209585453</v>
      </c>
      <c r="Q83" s="179">
        <f t="shared" si="40"/>
        <v>1.1583921208956558</v>
      </c>
      <c r="R83" s="179">
        <f t="shared" si="41"/>
        <v>0.5660377358490567</v>
      </c>
    </row>
    <row r="84" spans="3:18" x14ac:dyDescent="0.2">
      <c r="C84" s="176">
        <v>78</v>
      </c>
      <c r="D84" s="6">
        <f t="shared" si="42"/>
        <v>40.08</v>
      </c>
      <c r="E84" s="454">
        <f t="shared" si="29"/>
        <v>15.899999999999999</v>
      </c>
      <c r="F84" s="223">
        <f t="shared" si="30"/>
        <v>0.28403001071811362</v>
      </c>
      <c r="G84" s="178">
        <f t="shared" si="31"/>
        <v>7.6841479099678471</v>
      </c>
      <c r="H84" s="223">
        <f t="shared" si="32"/>
        <v>1.5368295819935693</v>
      </c>
      <c r="I84" s="454">
        <f t="shared" si="33"/>
        <v>55.98</v>
      </c>
      <c r="J84" s="178">
        <f t="shared" si="34"/>
        <v>0.97603535068228309</v>
      </c>
      <c r="K84" s="178">
        <f t="shared" si="35"/>
        <v>0.7305653822472179</v>
      </c>
      <c r="L84" s="178">
        <f t="shared" si="36"/>
        <v>1.8415761333627985</v>
      </c>
      <c r="M84" s="454">
        <f t="shared" si="43"/>
        <v>350</v>
      </c>
      <c r="N84" s="203">
        <f t="shared" si="37"/>
        <v>350</v>
      </c>
      <c r="O84" s="223">
        <f t="shared" si="38"/>
        <v>1.0841831266268565</v>
      </c>
      <c r="P84" s="179">
        <f t="shared" si="39"/>
        <v>2.04562854080539</v>
      </c>
      <c r="Q84" s="179">
        <f t="shared" si="40"/>
        <v>1.1643638723259488</v>
      </c>
      <c r="R84" s="179">
        <f t="shared" si="41"/>
        <v>0.5660377358490567</v>
      </c>
    </row>
    <row r="85" spans="3:18" x14ac:dyDescent="0.2">
      <c r="C85" s="176">
        <v>79</v>
      </c>
      <c r="D85" s="6">
        <f t="shared" si="42"/>
        <v>40.44</v>
      </c>
      <c r="E85" s="454">
        <f t="shared" si="29"/>
        <v>15.899999999999999</v>
      </c>
      <c r="F85" s="223">
        <f t="shared" si="30"/>
        <v>0.28221512247071351</v>
      </c>
      <c r="G85" s="178">
        <f t="shared" si="31"/>
        <v>7.7036261980830654</v>
      </c>
      <c r="H85" s="223">
        <f t="shared" si="32"/>
        <v>1.5407252396166131</v>
      </c>
      <c r="I85" s="454">
        <f t="shared" si="33"/>
        <v>56.339999999999996</v>
      </c>
      <c r="J85" s="178">
        <f t="shared" si="34"/>
        <v>0.97356748720054243</v>
      </c>
      <c r="K85" s="178">
        <f t="shared" si="35"/>
        <v>0.72223107359090688</v>
      </c>
      <c r="L85" s="178">
        <f t="shared" si="36"/>
        <v>1.8369197871708349</v>
      </c>
      <c r="M85" s="454">
        <f t="shared" si="43"/>
        <v>350</v>
      </c>
      <c r="N85" s="203">
        <f t="shared" si="37"/>
        <v>350</v>
      </c>
      <c r="O85" s="223">
        <f t="shared" si="38"/>
        <v>1.0869313859729195</v>
      </c>
      <c r="P85" s="179">
        <f t="shared" si="39"/>
        <v>2.0508139357979616</v>
      </c>
      <c r="Q85" s="179">
        <f t="shared" si="40"/>
        <v>1.1702743676449647</v>
      </c>
      <c r="R85" s="179">
        <f t="shared" si="41"/>
        <v>0.5660377358490567</v>
      </c>
    </row>
    <row r="86" spans="3:18" x14ac:dyDescent="0.2">
      <c r="C86" s="176">
        <v>80</v>
      </c>
      <c r="D86" s="6">
        <f t="shared" si="42"/>
        <v>40.799999999999997</v>
      </c>
      <c r="E86" s="454">
        <f t="shared" si="29"/>
        <v>15.899999999999999</v>
      </c>
      <c r="F86" s="223">
        <f t="shared" si="30"/>
        <v>0.28042328042328041</v>
      </c>
      <c r="G86" s="178">
        <f t="shared" si="31"/>
        <v>7.7228571428571415</v>
      </c>
      <c r="H86" s="223">
        <f t="shared" si="32"/>
        <v>1.5445714285714283</v>
      </c>
      <c r="I86" s="454">
        <f t="shared" si="33"/>
        <v>56.699999999999996</v>
      </c>
      <c r="J86" s="178">
        <f t="shared" si="34"/>
        <v>0.97114317425083263</v>
      </c>
      <c r="K86" s="178">
        <f t="shared" si="35"/>
        <v>0.71407586341972984</v>
      </c>
      <c r="L86" s="178">
        <f t="shared" si="36"/>
        <v>1.832345611794024</v>
      </c>
      <c r="M86" s="454">
        <f t="shared" si="43"/>
        <v>350</v>
      </c>
      <c r="N86" s="203">
        <f t="shared" si="37"/>
        <v>350</v>
      </c>
      <c r="O86" s="223">
        <f t="shared" si="38"/>
        <v>1.0896447467876038</v>
      </c>
      <c r="P86" s="179">
        <f t="shared" si="39"/>
        <v>2.0559334845049131</v>
      </c>
      <c r="Q86" s="179">
        <f t="shared" si="40"/>
        <v>1.1761244885961437</v>
      </c>
      <c r="R86" s="179">
        <f t="shared" si="41"/>
        <v>0.5660377358490567</v>
      </c>
    </row>
    <row r="87" spans="3:18" x14ac:dyDescent="0.2">
      <c r="C87" s="176">
        <v>81</v>
      </c>
      <c r="D87" s="6">
        <f t="shared" si="42"/>
        <v>41.160000000000004</v>
      </c>
      <c r="E87" s="454">
        <f t="shared" si="29"/>
        <v>15.899999999999999</v>
      </c>
      <c r="F87" s="223">
        <f t="shared" si="30"/>
        <v>0.27865404837013669</v>
      </c>
      <c r="G87" s="178">
        <f t="shared" si="31"/>
        <v>7.741845425867508</v>
      </c>
      <c r="H87" s="223">
        <f t="shared" si="32"/>
        <v>1.5483690851735017</v>
      </c>
      <c r="I87" s="454">
        <f t="shared" si="33"/>
        <v>57.06</v>
      </c>
      <c r="J87" s="178">
        <f t="shared" si="34"/>
        <v>0.96876126910782268</v>
      </c>
      <c r="K87" s="178">
        <f t="shared" si="35"/>
        <v>0.70609421946634299</v>
      </c>
      <c r="L87" s="178">
        <f t="shared" si="36"/>
        <v>1.8278514511468356</v>
      </c>
      <c r="M87" s="454">
        <f t="shared" si="43"/>
        <v>350</v>
      </c>
      <c r="N87" s="203">
        <f t="shared" si="37"/>
        <v>350</v>
      </c>
      <c r="O87" s="223">
        <f t="shared" si="38"/>
        <v>1.0923238696109359</v>
      </c>
      <c r="P87" s="179">
        <f t="shared" si="39"/>
        <v>2.0609884332281809</v>
      </c>
      <c r="Q87" s="179">
        <f t="shared" si="40"/>
        <v>1.1819151018187728</v>
      </c>
      <c r="R87" s="179">
        <f t="shared" si="41"/>
        <v>0.5660377358490567</v>
      </c>
    </row>
    <row r="88" spans="3:18" x14ac:dyDescent="0.2">
      <c r="C88" s="176">
        <v>82</v>
      </c>
      <c r="D88" s="6">
        <f t="shared" si="42"/>
        <v>41.519999999999996</v>
      </c>
      <c r="E88" s="454">
        <f t="shared" si="29"/>
        <v>15.899999999999999</v>
      </c>
      <c r="F88" s="223">
        <f t="shared" si="30"/>
        <v>0.2769070010449321</v>
      </c>
      <c r="G88" s="178">
        <f t="shared" si="31"/>
        <v>7.7605956112852663</v>
      </c>
      <c r="H88" s="223">
        <f t="shared" si="32"/>
        <v>1.5521191222570532</v>
      </c>
      <c r="I88" s="454">
        <f t="shared" si="33"/>
        <v>57.419999999999995</v>
      </c>
      <c r="J88" s="178">
        <f t="shared" si="34"/>
        <v>0.96642066867827581</v>
      </c>
      <c r="K88" s="178">
        <f t="shared" si="35"/>
        <v>0.69828082996985252</v>
      </c>
      <c r="L88" s="178">
        <f t="shared" si="36"/>
        <v>1.8234352239212754</v>
      </c>
      <c r="M88" s="454">
        <f t="shared" si="43"/>
        <v>350</v>
      </c>
      <c r="N88" s="203">
        <f t="shared" si="37"/>
        <v>350</v>
      </c>
      <c r="O88" s="223">
        <f t="shared" si="38"/>
        <v>1.0949693984176743</v>
      </c>
      <c r="P88" s="179">
        <f t="shared" si="39"/>
        <v>2.0659799970144799</v>
      </c>
      <c r="Q88" s="179">
        <f t="shared" si="40"/>
        <v>1.1876470590987942</v>
      </c>
      <c r="R88" s="179">
        <f t="shared" si="41"/>
        <v>0.5660377358490567</v>
      </c>
    </row>
    <row r="89" spans="3:18" x14ac:dyDescent="0.2">
      <c r="C89" s="176">
        <v>83</v>
      </c>
      <c r="D89" s="6">
        <f t="shared" si="42"/>
        <v>41.879999999999995</v>
      </c>
      <c r="E89" s="454">
        <f t="shared" si="29"/>
        <v>15.899999999999999</v>
      </c>
      <c r="F89" s="223">
        <f t="shared" si="30"/>
        <v>0.27518172377985461</v>
      </c>
      <c r="G89" s="178">
        <f t="shared" si="31"/>
        <v>7.7791121495327085</v>
      </c>
      <c r="H89" s="223">
        <f t="shared" si="32"/>
        <v>1.5558224299065417</v>
      </c>
      <c r="I89" s="454">
        <f t="shared" si="33"/>
        <v>57.779999999999994</v>
      </c>
      <c r="J89" s="178">
        <f t="shared" si="34"/>
        <v>0.96412030779766089</v>
      </c>
      <c r="K89" s="178">
        <f t="shared" si="35"/>
        <v>0.69063059297826723</v>
      </c>
      <c r="L89" s="178">
        <f t="shared" si="36"/>
        <v>1.8190949203729454</v>
      </c>
      <c r="M89" s="454">
        <f t="shared" si="43"/>
        <v>350</v>
      </c>
      <c r="N89" s="203">
        <f t="shared" si="37"/>
        <v>350</v>
      </c>
      <c r="O89" s="223">
        <f t="shared" si="38"/>
        <v>1.097581961133363</v>
      </c>
      <c r="P89" s="179">
        <f t="shared" si="39"/>
        <v>2.0709093606289866</v>
      </c>
      <c r="Q89" s="179">
        <f t="shared" si="40"/>
        <v>1.1933211976185158</v>
      </c>
      <c r="R89" s="179">
        <f t="shared" si="41"/>
        <v>0.5660377358490567</v>
      </c>
    </row>
    <row r="90" spans="3:18" x14ac:dyDescent="0.2">
      <c r="C90" s="176">
        <v>84</v>
      </c>
      <c r="D90" s="6">
        <f t="shared" si="42"/>
        <v>42.239999999999995</v>
      </c>
      <c r="E90" s="454">
        <f t="shared" si="29"/>
        <v>15.899999999999999</v>
      </c>
      <c r="F90" s="223">
        <f t="shared" si="30"/>
        <v>0.27347781217750261</v>
      </c>
      <c r="G90" s="178">
        <f t="shared" si="31"/>
        <v>7.7973993808049533</v>
      </c>
      <c r="H90" s="223">
        <f t="shared" si="32"/>
        <v>1.5594798761609907</v>
      </c>
      <c r="I90" s="454">
        <f t="shared" si="33"/>
        <v>58.139999999999993</v>
      </c>
      <c r="J90" s="178">
        <f t="shared" si="34"/>
        <v>0.96185915761387442</v>
      </c>
      <c r="K90" s="178">
        <f t="shared" si="35"/>
        <v>0.68313860625985412</v>
      </c>
      <c r="L90" s="178">
        <f t="shared" si="36"/>
        <v>1.8148285992714615</v>
      </c>
      <c r="M90" s="454">
        <f t="shared" si="43"/>
        <v>350</v>
      </c>
      <c r="N90" s="203">
        <f t="shared" si="37"/>
        <v>350</v>
      </c>
      <c r="O90" s="223">
        <f t="shared" si="38"/>
        <v>1.1001621701312103</v>
      </c>
      <c r="P90" s="179">
        <f t="shared" si="39"/>
        <v>2.07577767949285</v>
      </c>
      <c r="Q90" s="179">
        <f t="shared" si="40"/>
        <v>1.1989383402049105</v>
      </c>
      <c r="R90" s="179">
        <f t="shared" si="41"/>
        <v>0.5660377358490567</v>
      </c>
    </row>
    <row r="91" spans="3:18" x14ac:dyDescent="0.2">
      <c r="C91" s="176">
        <v>85</v>
      </c>
      <c r="D91" s="6">
        <f t="shared" si="42"/>
        <v>42.599999999999994</v>
      </c>
      <c r="E91" s="454">
        <f t="shared" si="29"/>
        <v>15.899999999999999</v>
      </c>
      <c r="F91" s="223">
        <f t="shared" si="30"/>
        <v>0.27179487179487183</v>
      </c>
      <c r="G91" s="178">
        <f t="shared" si="31"/>
        <v>7.8154615384615376</v>
      </c>
      <c r="H91" s="223">
        <f t="shared" si="32"/>
        <v>1.5630923076923076</v>
      </c>
      <c r="I91" s="454">
        <f t="shared" si="33"/>
        <v>58.499999999999993</v>
      </c>
      <c r="J91" s="178">
        <f t="shared" si="34"/>
        <v>0.95963622405291282</v>
      </c>
      <c r="K91" s="178">
        <f t="shared" si="35"/>
        <v>0.67580015778374147</v>
      </c>
      <c r="L91" s="178">
        <f t="shared" si="36"/>
        <v>1.8106343850054962</v>
      </c>
      <c r="M91" s="454">
        <f t="shared" si="43"/>
        <v>350</v>
      </c>
      <c r="N91" s="203">
        <f t="shared" si="37"/>
        <v>350</v>
      </c>
      <c r="O91" s="223">
        <f t="shared" si="38"/>
        <v>1.1027106227106227</v>
      </c>
      <c r="P91" s="179">
        <f t="shared" si="39"/>
        <v>2.0805860805860812</v>
      </c>
      <c r="Q91" s="179">
        <f t="shared" si="40"/>
        <v>1.2044992955762188</v>
      </c>
      <c r="R91" s="179">
        <f t="shared" si="41"/>
        <v>0.5660377358490567</v>
      </c>
    </row>
    <row r="92" spans="3:18" x14ac:dyDescent="0.2">
      <c r="C92" s="176">
        <v>86</v>
      </c>
      <c r="D92" s="6">
        <f t="shared" si="42"/>
        <v>42.96</v>
      </c>
      <c r="E92" s="454">
        <f t="shared" si="29"/>
        <v>15.899999999999999</v>
      </c>
      <c r="F92" s="223">
        <f t="shared" si="30"/>
        <v>0.27013251783893982</v>
      </c>
      <c r="G92" s="178">
        <f t="shared" si="31"/>
        <v>7.8333027522935774</v>
      </c>
      <c r="H92" s="223">
        <f t="shared" si="32"/>
        <v>1.5666605504587154</v>
      </c>
      <c r="I92" s="454">
        <f t="shared" si="33"/>
        <v>58.86</v>
      </c>
      <c r="J92" s="178">
        <f t="shared" si="34"/>
        <v>0.95745054636168803</v>
      </c>
      <c r="K92" s="178">
        <f t="shared" si="35"/>
        <v>0.66861071673302241</v>
      </c>
      <c r="L92" s="178">
        <f t="shared" si="36"/>
        <v>1.8065104648333739</v>
      </c>
      <c r="M92" s="454">
        <f t="shared" si="43"/>
        <v>350</v>
      </c>
      <c r="N92" s="203">
        <f t="shared" si="37"/>
        <v>350</v>
      </c>
      <c r="O92" s="223">
        <f t="shared" si="38"/>
        <v>1.1052279015581767</v>
      </c>
      <c r="P92" s="179">
        <f t="shared" si="39"/>
        <v>2.085335663317315</v>
      </c>
      <c r="Q92" s="179">
        <f t="shared" si="40"/>
        <v>1.2100048585866279</v>
      </c>
      <c r="R92" s="179">
        <f t="shared" si="41"/>
        <v>0.5660377358490567</v>
      </c>
    </row>
    <row r="93" spans="3:18" x14ac:dyDescent="0.2">
      <c r="C93" s="176">
        <v>87</v>
      </c>
      <c r="D93" s="6">
        <f t="shared" si="42"/>
        <v>43.32</v>
      </c>
      <c r="E93" s="454">
        <f t="shared" si="29"/>
        <v>15.899999999999999</v>
      </c>
      <c r="F93" s="223">
        <f t="shared" si="30"/>
        <v>0.26849037487335359</v>
      </c>
      <c r="G93" s="178">
        <f t="shared" si="31"/>
        <v>7.8509270516717322</v>
      </c>
      <c r="H93" s="223">
        <f t="shared" si="32"/>
        <v>1.5701854103343464</v>
      </c>
      <c r="I93" s="454">
        <f t="shared" si="33"/>
        <v>59.22</v>
      </c>
      <c r="J93" s="178">
        <f t="shared" si="34"/>
        <v>0.95530119572350269</v>
      </c>
      <c r="K93" s="178">
        <f t="shared" si="35"/>
        <v>0.6615659250162762</v>
      </c>
      <c r="L93" s="178">
        <f t="shared" si="36"/>
        <v>1.80245508627076</v>
      </c>
      <c r="M93" s="454">
        <f t="shared" si="43"/>
        <v>350</v>
      </c>
      <c r="N93" s="203">
        <f t="shared" si="37"/>
        <v>350</v>
      </c>
      <c r="O93" s="223">
        <f t="shared" si="38"/>
        <v>1.107714575191779</v>
      </c>
      <c r="P93" s="179">
        <f t="shared" si="39"/>
        <v>2.0900275003618471</v>
      </c>
      <c r="Q93" s="179">
        <f t="shared" si="40"/>
        <v>1.2154558104687909</v>
      </c>
      <c r="R93" s="179">
        <f t="shared" si="41"/>
        <v>0.5660377358490567</v>
      </c>
    </row>
    <row r="94" spans="3:18" x14ac:dyDescent="0.2">
      <c r="C94" s="176">
        <v>88</v>
      </c>
      <c r="D94" s="6">
        <f t="shared" si="42"/>
        <v>43.68</v>
      </c>
      <c r="E94" s="454">
        <f t="shared" si="29"/>
        <v>15.899999999999999</v>
      </c>
      <c r="F94" s="223">
        <f t="shared" si="30"/>
        <v>0.26686807653575023</v>
      </c>
      <c r="G94" s="178">
        <f t="shared" si="31"/>
        <v>7.8683383685800594</v>
      </c>
      <c r="H94" s="223">
        <f t="shared" si="32"/>
        <v>1.5736676737160118</v>
      </c>
      <c r="I94" s="454">
        <f t="shared" si="33"/>
        <v>59.58</v>
      </c>
      <c r="J94" s="178">
        <f t="shared" si="34"/>
        <v>0.95318727394199099</v>
      </c>
      <c r="K94" s="178">
        <f t="shared" si="35"/>
        <v>0.65466158924587292</v>
      </c>
      <c r="L94" s="178">
        <f t="shared" si="36"/>
        <v>1.7984665546075305</v>
      </c>
      <c r="M94" s="454">
        <f t="shared" si="43"/>
        <v>350</v>
      </c>
      <c r="N94" s="203">
        <f t="shared" si="37"/>
        <v>350</v>
      </c>
      <c r="O94" s="223">
        <f t="shared" si="38"/>
        <v>1.110171198388721</v>
      </c>
      <c r="P94" s="179">
        <f t="shared" si="39"/>
        <v>2.0946626384692855</v>
      </c>
      <c r="Q94" s="179">
        <f t="shared" si="40"/>
        <v>1.2208529190740016</v>
      </c>
      <c r="R94" s="179">
        <f t="shared" si="41"/>
        <v>0.5660377358490567</v>
      </c>
    </row>
    <row r="95" spans="3:18" x14ac:dyDescent="0.2">
      <c r="C95" s="176">
        <v>89</v>
      </c>
      <c r="D95" s="6">
        <f t="shared" si="42"/>
        <v>44.04</v>
      </c>
      <c r="E95" s="454">
        <f t="shared" si="29"/>
        <v>15.899999999999999</v>
      </c>
      <c r="F95" s="223">
        <f t="shared" si="30"/>
        <v>0.26526526526526523</v>
      </c>
      <c r="G95" s="178">
        <f t="shared" si="31"/>
        <v>7.8855405405405392</v>
      </c>
      <c r="H95" s="223">
        <f t="shared" si="32"/>
        <v>1.5771081081081078</v>
      </c>
      <c r="I95" s="454">
        <f t="shared" si="33"/>
        <v>59.94</v>
      </c>
      <c r="J95" s="178">
        <f t="shared" si="34"/>
        <v>0.95110791218960467</v>
      </c>
      <c r="K95" s="178">
        <f t="shared" si="35"/>
        <v>0.64789367315368163</v>
      </c>
      <c r="L95" s="178">
        <f t="shared" si="36"/>
        <v>1.794543230546424</v>
      </c>
      <c r="M95" s="454">
        <f t="shared" si="43"/>
        <v>350</v>
      </c>
      <c r="N95" s="203">
        <f t="shared" si="37"/>
        <v>350</v>
      </c>
      <c r="O95" s="223">
        <f t="shared" si="38"/>
        <v>1.1125983125983125</v>
      </c>
      <c r="P95" s="179">
        <f t="shared" si="39"/>
        <v>2.0992420992420993</v>
      </c>
      <c r="Q95" s="179">
        <f t="shared" si="40"/>
        <v>1.2261969391098519</v>
      </c>
      <c r="R95" s="179">
        <f t="shared" si="41"/>
        <v>0.5660377358490567</v>
      </c>
    </row>
    <row r="96" spans="3:18" x14ac:dyDescent="0.2">
      <c r="C96" s="176">
        <v>90</v>
      </c>
      <c r="D96" s="6">
        <f t="shared" si="42"/>
        <v>44.4</v>
      </c>
      <c r="E96" s="454">
        <f t="shared" si="29"/>
        <v>15.899999999999999</v>
      </c>
      <c r="F96" s="223">
        <f t="shared" si="30"/>
        <v>0.26368159203980096</v>
      </c>
      <c r="G96" s="178">
        <f t="shared" si="31"/>
        <v>7.9025373134328341</v>
      </c>
      <c r="H96" s="223">
        <f t="shared" si="32"/>
        <v>1.5805074626865667</v>
      </c>
      <c r="I96" s="454">
        <f t="shared" si="33"/>
        <v>60.3</v>
      </c>
      <c r="J96" s="178">
        <f t="shared" si="34"/>
        <v>0.94906226981698694</v>
      </c>
      <c r="K96" s="178">
        <f t="shared" si="35"/>
        <v>0.6412582904168832</v>
      </c>
      <c r="L96" s="178">
        <f t="shared" si="36"/>
        <v>1.7906835279565791</v>
      </c>
      <c r="M96" s="454">
        <f t="shared" si="43"/>
        <v>350</v>
      </c>
      <c r="N96" s="203">
        <f t="shared" si="37"/>
        <v>350</v>
      </c>
      <c r="O96" s="223">
        <f t="shared" si="38"/>
        <v>1.1149964463397297</v>
      </c>
      <c r="P96" s="179">
        <f t="shared" si="39"/>
        <v>2.1037668798862827</v>
      </c>
      <c r="Q96" s="179">
        <f t="shared" si="40"/>
        <v>1.2314886123752238</v>
      </c>
      <c r="R96" s="179">
        <f t="shared" si="41"/>
        <v>0.5660377358490567</v>
      </c>
    </row>
    <row r="97" spans="3:18" x14ac:dyDescent="0.2">
      <c r="C97" s="176">
        <v>91</v>
      </c>
      <c r="D97" s="6">
        <f t="shared" si="42"/>
        <v>44.76</v>
      </c>
      <c r="E97" s="454">
        <f t="shared" si="29"/>
        <v>15.899999999999999</v>
      </c>
      <c r="F97" s="223">
        <f t="shared" si="30"/>
        <v>0.26211671612265081</v>
      </c>
      <c r="G97" s="178">
        <f t="shared" si="31"/>
        <v>7.9193323442136476</v>
      </c>
      <c r="H97" s="223">
        <f t="shared" si="32"/>
        <v>1.5838664688427295</v>
      </c>
      <c r="I97" s="454">
        <f t="shared" si="33"/>
        <v>60.66</v>
      </c>
      <c r="J97" s="178">
        <f t="shared" si="34"/>
        <v>0.94704953321980001</v>
      </c>
      <c r="K97" s="178">
        <f t="shared" si="35"/>
        <v>0.63475169786849872</v>
      </c>
      <c r="L97" s="178">
        <f t="shared" si="36"/>
        <v>1.7868859117354721</v>
      </c>
      <c r="M97" s="454">
        <f t="shared" si="43"/>
        <v>350</v>
      </c>
      <c r="N97" s="203">
        <f t="shared" si="37"/>
        <v>350</v>
      </c>
      <c r="O97" s="223">
        <f t="shared" si="38"/>
        <v>1.1173661155857002</v>
      </c>
      <c r="P97" s="179">
        <f t="shared" si="39"/>
        <v>2.108237953935284</v>
      </c>
      <c r="Q97" s="179">
        <f t="shared" si="40"/>
        <v>1.2367286679924816</v>
      </c>
      <c r="R97" s="179">
        <f t="shared" si="41"/>
        <v>0.5660377358490567</v>
      </c>
    </row>
    <row r="98" spans="3:18" x14ac:dyDescent="0.2">
      <c r="C98" s="176">
        <v>92</v>
      </c>
      <c r="D98" s="6">
        <f t="shared" si="42"/>
        <v>45.120000000000005</v>
      </c>
      <c r="E98" s="454">
        <f t="shared" si="29"/>
        <v>15.899999999999999</v>
      </c>
      <c r="F98" s="223">
        <f t="shared" si="30"/>
        <v>0.2605703048180924</v>
      </c>
      <c r="G98" s="178">
        <f t="shared" si="31"/>
        <v>7.9359292035398239</v>
      </c>
      <c r="H98" s="223">
        <f t="shared" si="32"/>
        <v>1.5871858407079649</v>
      </c>
      <c r="I98" s="454">
        <f t="shared" si="33"/>
        <v>61.02</v>
      </c>
      <c r="J98" s="178">
        <f t="shared" si="34"/>
        <v>0.94506891475980193</v>
      </c>
      <c r="K98" s="178">
        <f t="shared" si="35"/>
        <v>0.62837028906901715</v>
      </c>
      <c r="L98" s="178">
        <f t="shared" si="36"/>
        <v>1.7831488957732113</v>
      </c>
      <c r="M98" s="454">
        <f t="shared" si="43"/>
        <v>350</v>
      </c>
      <c r="N98" s="203">
        <f t="shared" si="37"/>
        <v>350</v>
      </c>
      <c r="O98" s="223">
        <f t="shared" si="38"/>
        <v>1.1197078241326028</v>
      </c>
      <c r="P98" s="179">
        <f t="shared" si="39"/>
        <v>2.1126562719483077</v>
      </c>
      <c r="Q98" s="179">
        <f t="shared" si="40"/>
        <v>1.2419178226367515</v>
      </c>
      <c r="R98" s="179">
        <f t="shared" si="41"/>
        <v>0.5660377358490567</v>
      </c>
    </row>
    <row r="99" spans="3:18" x14ac:dyDescent="0.2">
      <c r="C99" s="176">
        <v>93</v>
      </c>
      <c r="D99" s="6">
        <f t="shared" si="42"/>
        <v>45.480000000000004</v>
      </c>
      <c r="E99" s="454">
        <f t="shared" si="29"/>
        <v>15.899999999999999</v>
      </c>
      <c r="F99" s="223">
        <f t="shared" si="30"/>
        <v>0.25904203323558161</v>
      </c>
      <c r="G99" s="178">
        <f t="shared" si="31"/>
        <v>7.9523313782991201</v>
      </c>
      <c r="H99" s="223">
        <f t="shared" si="32"/>
        <v>1.590466275659824</v>
      </c>
      <c r="I99" s="454">
        <f t="shared" si="33"/>
        <v>61.38</v>
      </c>
      <c r="J99" s="178">
        <f t="shared" si="34"/>
        <v>0.9431196517371655</v>
      </c>
      <c r="K99" s="178">
        <f t="shared" si="35"/>
        <v>0.62211058821712761</v>
      </c>
      <c r="L99" s="178">
        <f t="shared" si="36"/>
        <v>1.7794710410135202</v>
      </c>
      <c r="M99" s="454">
        <f t="shared" si="43"/>
        <v>350</v>
      </c>
      <c r="N99" s="203">
        <f t="shared" si="37"/>
        <v>350</v>
      </c>
      <c r="O99" s="223">
        <f t="shared" si="38"/>
        <v>1.122022063957548</v>
      </c>
      <c r="P99" s="179">
        <f t="shared" si="39"/>
        <v>2.1170227621840532</v>
      </c>
      <c r="Q99" s="179">
        <f t="shared" si="40"/>
        <v>1.2470567807622019</v>
      </c>
      <c r="R99" s="179">
        <f t="shared" si="41"/>
        <v>0.5660377358490567</v>
      </c>
    </row>
    <row r="100" spans="3:18" x14ac:dyDescent="0.2">
      <c r="C100" s="176">
        <v>94</v>
      </c>
      <c r="D100" s="6">
        <f t="shared" si="42"/>
        <v>45.839999999999996</v>
      </c>
      <c r="E100" s="454">
        <f t="shared" si="29"/>
        <v>15.899999999999999</v>
      </c>
      <c r="F100" s="223">
        <f t="shared" si="30"/>
        <v>0.25753158406219628</v>
      </c>
      <c r="G100" s="178">
        <f t="shared" si="31"/>
        <v>7.9685422740524769</v>
      </c>
      <c r="H100" s="223">
        <f t="shared" si="32"/>
        <v>1.5937084548104954</v>
      </c>
      <c r="I100" s="454">
        <f t="shared" si="33"/>
        <v>61.739999999999995</v>
      </c>
      <c r="J100" s="178">
        <f t="shared" si="34"/>
        <v>0.94120100541121987</v>
      </c>
      <c r="K100" s="178">
        <f t="shared" si="35"/>
        <v>0.61596924437907064</v>
      </c>
      <c r="L100" s="178">
        <f t="shared" si="36"/>
        <v>1.7758509536060754</v>
      </c>
      <c r="M100" s="454">
        <f t="shared" si="43"/>
        <v>350</v>
      </c>
      <c r="N100" s="203">
        <f t="shared" si="37"/>
        <v>350</v>
      </c>
      <c r="O100" s="223">
        <f t="shared" si="38"/>
        <v>1.1243093155629598</v>
      </c>
      <c r="P100" s="179">
        <f t="shared" si="39"/>
        <v>2.1213383312508678</v>
      </c>
      <c r="Q100" s="179">
        <f t="shared" si="40"/>
        <v>1.2521462348252206</v>
      </c>
      <c r="R100" s="179">
        <f t="shared" si="41"/>
        <v>0.5660377358490567</v>
      </c>
    </row>
    <row r="101" spans="3:18" x14ac:dyDescent="0.2">
      <c r="C101" s="176">
        <v>95</v>
      </c>
      <c r="D101" s="6">
        <f t="shared" si="42"/>
        <v>46.199999999999996</v>
      </c>
      <c r="E101" s="454">
        <f t="shared" si="29"/>
        <v>15.899999999999999</v>
      </c>
      <c r="F101" s="223">
        <f t="shared" si="30"/>
        <v>0.2560386473429952</v>
      </c>
      <c r="G101" s="178">
        <f t="shared" si="31"/>
        <v>7.9845652173913049</v>
      </c>
      <c r="H101" s="223">
        <f t="shared" si="32"/>
        <v>1.596913043478261</v>
      </c>
      <c r="I101" s="454">
        <f t="shared" si="33"/>
        <v>62.099999999999994</v>
      </c>
      <c r="J101" s="178">
        <f t="shared" si="34"/>
        <v>0.93931226006697699</v>
      </c>
      <c r="K101" s="178">
        <f t="shared" si="35"/>
        <v>0.6099430260175176</v>
      </c>
      <c r="L101" s="178">
        <f t="shared" si="36"/>
        <v>1.7722872831452399</v>
      </c>
      <c r="M101" s="454">
        <f t="shared" si="43"/>
        <v>350</v>
      </c>
      <c r="N101" s="203">
        <f t="shared" si="37"/>
        <v>350</v>
      </c>
      <c r="O101" s="223">
        <f t="shared" si="38"/>
        <v>1.1265700483091787</v>
      </c>
      <c r="P101" s="179">
        <f t="shared" si="39"/>
        <v>2.1256038647342996</v>
      </c>
      <c r="Q101" s="179">
        <f t="shared" si="40"/>
        <v>1.2571868655044458</v>
      </c>
      <c r="R101" s="179">
        <f t="shared" si="41"/>
        <v>0.5660377358490567</v>
      </c>
    </row>
    <row r="102" spans="3:18" x14ac:dyDescent="0.2">
      <c r="C102" s="176">
        <v>96</v>
      </c>
      <c r="D102" s="6">
        <f t="shared" si="42"/>
        <v>46.56</v>
      </c>
      <c r="E102" s="454">
        <f t="shared" si="29"/>
        <v>15.899999999999999</v>
      </c>
      <c r="F102" s="223">
        <f t="shared" si="30"/>
        <v>0.25456292026897209</v>
      </c>
      <c r="G102" s="178">
        <f t="shared" ref="G102:G106" si="44">F102*D102*Isw_max*0.5*Efficiency</f>
        <v>8.0004034582132544</v>
      </c>
      <c r="H102" s="223">
        <f t="shared" ref="H102:H106" si="45">G102/Vout</f>
        <v>1.6000806916426509</v>
      </c>
      <c r="I102" s="454">
        <f t="shared" si="33"/>
        <v>62.46</v>
      </c>
      <c r="J102" s="178">
        <f t="shared" si="34"/>
        <v>0.937452722124965</v>
      </c>
      <c r="K102" s="178">
        <f t="shared" ref="K102:K106" si="46">L*J102/D102*1000000</f>
        <v>0.60402881580216816</v>
      </c>
      <c r="L102" s="178">
        <f t="shared" si="36"/>
        <v>1.7687787209905002</v>
      </c>
      <c r="M102" s="454">
        <f t="shared" si="43"/>
        <v>350</v>
      </c>
      <c r="N102" s="203">
        <f t="shared" si="37"/>
        <v>350</v>
      </c>
      <c r="O102" s="223">
        <f t="shared" ref="O102:O106" si="47">1/((N102*1000*L)*(1/D102+1/E102))</f>
        <v>1.1288047207355565</v>
      </c>
      <c r="P102" s="179">
        <f t="shared" ref="P102:P106" si="48">L*O102/E102*1000000</f>
        <v>2.129820227802937</v>
      </c>
      <c r="Q102" s="179">
        <f t="shared" ref="Q102:Q106" si="49">0.5*P102*O102*Nps*N102/1000</f>
        <v>1.2621793419175675</v>
      </c>
      <c r="R102" s="179">
        <f t="shared" si="41"/>
        <v>0.5660377358490567</v>
      </c>
    </row>
    <row r="103" spans="3:18" x14ac:dyDescent="0.2">
      <c r="C103" s="176">
        <v>97</v>
      </c>
      <c r="D103" s="6">
        <f t="shared" ref="D103:D106" si="50">C103/100*(VIN_max-VIN_min)+VIN_min</f>
        <v>46.92</v>
      </c>
      <c r="E103" s="454">
        <f t="shared" si="29"/>
        <v>15.899999999999999</v>
      </c>
      <c r="F103" s="223">
        <f t="shared" si="30"/>
        <v>0.25310410697230179</v>
      </c>
      <c r="G103" s="178">
        <f t="shared" si="44"/>
        <v>8.0160601719197704</v>
      </c>
      <c r="H103" s="223">
        <f t="shared" si="45"/>
        <v>1.603212034383954</v>
      </c>
      <c r="I103" s="454">
        <f t="shared" si="33"/>
        <v>62.82</v>
      </c>
      <c r="J103" s="178">
        <f t="shared" si="34"/>
        <v>0.93562171929203741</v>
      </c>
      <c r="K103" s="178">
        <f t="shared" si="46"/>
        <v>0.59822360568544586</v>
      </c>
      <c r="L103" s="178">
        <f t="shared" si="36"/>
        <v>1.7653239986642217</v>
      </c>
      <c r="M103" s="454">
        <f t="shared" si="43"/>
        <v>350</v>
      </c>
      <c r="N103" s="203">
        <f t="shared" si="37"/>
        <v>350</v>
      </c>
      <c r="O103" s="223">
        <f t="shared" si="47"/>
        <v>1.1310137808705145</v>
      </c>
      <c r="P103" s="179">
        <f t="shared" si="48"/>
        <v>2.1339882657934237</v>
      </c>
      <c r="Q103" s="179">
        <f t="shared" si="49"/>
        <v>1.2671243218348744</v>
      </c>
      <c r="R103" s="179">
        <f t="shared" si="41"/>
        <v>0.5660377358490567</v>
      </c>
    </row>
    <row r="104" spans="3:18" x14ac:dyDescent="0.2">
      <c r="C104" s="176">
        <v>98</v>
      </c>
      <c r="D104" s="6">
        <f t="shared" si="50"/>
        <v>47.28</v>
      </c>
      <c r="E104" s="454">
        <f t="shared" si="29"/>
        <v>15.899999999999999</v>
      </c>
      <c r="F104" s="223">
        <f t="shared" si="30"/>
        <v>0.25166191832858498</v>
      </c>
      <c r="G104" s="178">
        <f t="shared" si="44"/>
        <v>8.031538461538462</v>
      </c>
      <c r="H104" s="223">
        <f t="shared" si="45"/>
        <v>1.6063076923076924</v>
      </c>
      <c r="I104" s="454">
        <f t="shared" si="33"/>
        <v>63.18</v>
      </c>
      <c r="J104" s="178">
        <f t="shared" si="34"/>
        <v>0.93381859975098169</v>
      </c>
      <c r="K104" s="178">
        <f t="shared" si="46"/>
        <v>0.59252449222778025</v>
      </c>
      <c r="L104" s="178">
        <f t="shared" si="36"/>
        <v>1.7619218863226072</v>
      </c>
      <c r="M104" s="454">
        <f t="shared" si="43"/>
        <v>350</v>
      </c>
      <c r="N104" s="203">
        <f t="shared" si="37"/>
        <v>350</v>
      </c>
      <c r="O104" s="223">
        <f t="shared" si="47"/>
        <v>1.1331976665309997</v>
      </c>
      <c r="P104" s="179">
        <f t="shared" si="48"/>
        <v>2.1381088047754715</v>
      </c>
      <c r="Q104" s="179">
        <f t="shared" si="49"/>
        <v>1.2720224518894985</v>
      </c>
      <c r="R104" s="179">
        <f t="shared" si="41"/>
        <v>0.5660377358490567</v>
      </c>
    </row>
    <row r="105" spans="3:18" x14ac:dyDescent="0.2">
      <c r="C105" s="176">
        <v>99</v>
      </c>
      <c r="D105" s="6">
        <f t="shared" si="50"/>
        <v>47.64</v>
      </c>
      <c r="E105" s="454">
        <f t="shared" si="29"/>
        <v>15.899999999999999</v>
      </c>
      <c r="F105" s="223">
        <f t="shared" si="30"/>
        <v>0.2502360717658168</v>
      </c>
      <c r="G105" s="178">
        <f t="shared" si="44"/>
        <v>8.0468413597733708</v>
      </c>
      <c r="H105" s="223">
        <f t="shared" si="45"/>
        <v>1.6093682719546742</v>
      </c>
      <c r="I105" s="454">
        <f t="shared" si="33"/>
        <v>63.54</v>
      </c>
      <c r="J105" s="178">
        <f t="shared" si="34"/>
        <v>0.93204273138686899</v>
      </c>
      <c r="K105" s="178">
        <f t="shared" si="46"/>
        <v>0.58692867215797795</v>
      </c>
      <c r="L105" s="178">
        <f t="shared" si="36"/>
        <v>1.7585711912959794</v>
      </c>
      <c r="M105" s="454">
        <f t="shared" si="43"/>
        <v>350</v>
      </c>
      <c r="N105" s="203">
        <f t="shared" si="37"/>
        <v>350</v>
      </c>
      <c r="O105" s="223">
        <f t="shared" si="47"/>
        <v>1.1353568056117631</v>
      </c>
      <c r="P105" s="179">
        <f t="shared" si="48"/>
        <v>2.1421826520976666</v>
      </c>
      <c r="Q105" s="179">
        <f t="shared" si="49"/>
        <v>1.2768743677843342</v>
      </c>
      <c r="R105" s="179">
        <f t="shared" si="41"/>
        <v>0.5660377358490567</v>
      </c>
    </row>
    <row r="106" spans="3:18" x14ac:dyDescent="0.2">
      <c r="C106" s="176">
        <v>100</v>
      </c>
      <c r="D106" s="6">
        <f t="shared" si="50"/>
        <v>48</v>
      </c>
      <c r="E106" s="454">
        <f t="shared" si="29"/>
        <v>15.899999999999999</v>
      </c>
      <c r="F106" s="223">
        <f t="shared" si="30"/>
        <v>0.24882629107981219</v>
      </c>
      <c r="G106" s="178">
        <f t="shared" si="44"/>
        <v>8.0619718309859145</v>
      </c>
      <c r="H106" s="223">
        <f t="shared" si="45"/>
        <v>1.6123943661971829</v>
      </c>
      <c r="I106" s="454">
        <f t="shared" si="33"/>
        <v>63.9</v>
      </c>
      <c r="J106" s="178">
        <f t="shared" si="34"/>
        <v>0.93029350104821806</v>
      </c>
      <c r="K106" s="178">
        <f t="shared" si="46"/>
        <v>0.58143343815513637</v>
      </c>
      <c r="L106" s="178">
        <f t="shared" si="36"/>
        <v>1.7552707566947512</v>
      </c>
      <c r="M106" s="454">
        <f t="shared" si="43"/>
        <v>350</v>
      </c>
      <c r="N106" s="203">
        <f t="shared" si="37"/>
        <v>350</v>
      </c>
      <c r="O106" s="223">
        <f t="shared" si="47"/>
        <v>1.1374916163648559</v>
      </c>
      <c r="P106" s="179">
        <f t="shared" si="48"/>
        <v>2.1462105969148224</v>
      </c>
      <c r="Q106" s="179">
        <f t="shared" si="49"/>
        <v>1.2816806944956125</v>
      </c>
      <c r="R106" s="179">
        <f t="shared" si="41"/>
        <v>0.5660377358490567</v>
      </c>
    </row>
  </sheetData>
  <mergeCells count="1">
    <mergeCell ref="F4:O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33"/>
  <sheetViews>
    <sheetView showWhiteSpace="0" zoomScaleNormal="100" workbookViewId="0">
      <pane ySplit="5" topLeftCell="A15" activePane="bottomLeft" state="frozen"/>
      <selection pane="bottomLeft" activeCell="B35" sqref="B35"/>
    </sheetView>
  </sheetViews>
  <sheetFormatPr defaultColWidth="9.140625" defaultRowHeight="12.75" x14ac:dyDescent="0.2"/>
  <cols>
    <col min="1" max="1" width="15.7109375" style="176" customWidth="1"/>
    <col min="2" max="2" width="11.5703125" style="176" customWidth="1"/>
    <col min="3" max="3" width="9.140625" style="176"/>
    <col min="4" max="4" width="12.42578125" style="176" bestFit="1" customWidth="1"/>
    <col min="5" max="5" width="51.42578125" style="176" customWidth="1"/>
    <col min="6" max="6" width="13.42578125" style="176" customWidth="1"/>
    <col min="7" max="7" width="10" style="176" customWidth="1"/>
    <col min="8" max="8" width="6.85546875" style="176" customWidth="1"/>
    <col min="9" max="9" width="12.42578125" style="176" bestFit="1" customWidth="1"/>
    <col min="10" max="10" width="9.140625" style="222" customWidth="1"/>
    <col min="11" max="11" width="8.85546875"/>
    <col min="13" max="13" width="10.85546875" customWidth="1"/>
    <col min="14" max="14" width="12" style="176" customWidth="1"/>
    <col min="15" max="15" width="12.7109375" style="222" customWidth="1"/>
    <col min="16" max="16" width="11.42578125" style="222" customWidth="1"/>
    <col min="17" max="17" width="12.42578125" style="222" customWidth="1"/>
    <col min="18" max="19" width="10.5703125" style="203" customWidth="1"/>
    <col min="20" max="20" width="10" style="203" customWidth="1"/>
    <col min="21" max="21" width="10.5703125" style="203" customWidth="1"/>
    <col min="22" max="22" width="8.42578125" style="222" customWidth="1"/>
    <col min="23" max="23" width="9.28515625" style="222" customWidth="1"/>
    <col min="24" max="24" width="9.42578125" style="176" customWidth="1"/>
    <col min="25" max="25" width="9.42578125" style="222" customWidth="1"/>
    <col min="26" max="26" width="8.28515625" style="223" customWidth="1"/>
    <col min="27" max="27" width="9.5703125" style="222" customWidth="1"/>
    <col min="28" max="28" width="9.42578125" style="222" bestFit="1" customWidth="1"/>
    <col min="29" max="29" width="8.5703125" style="222" customWidth="1"/>
    <col min="30" max="30" width="9.7109375" style="224" customWidth="1"/>
    <col min="31" max="31" width="9.140625" style="224" customWidth="1"/>
    <col min="32" max="32" width="8.140625" style="222" customWidth="1"/>
    <col min="33" max="33" width="10.28515625" style="222" customWidth="1"/>
    <col min="34" max="34" width="9.42578125" style="222" customWidth="1"/>
    <col min="35" max="35" width="8.85546875"/>
    <col min="36" max="36" width="9.7109375" style="222" customWidth="1"/>
    <col min="37" max="37" width="11.5703125" style="222" customWidth="1"/>
    <col min="38" max="38" width="10.140625" style="222" customWidth="1"/>
    <col min="39" max="39" width="11.140625" style="222" customWidth="1"/>
    <col min="40" max="40" width="9.140625" style="222"/>
    <col min="41" max="41" width="10.28515625" style="222" customWidth="1"/>
    <col min="42" max="42" width="9.85546875" style="222" customWidth="1"/>
    <col min="43" max="43" width="9.7109375" style="222" customWidth="1"/>
    <col min="44" max="44" width="10.28515625" style="222" customWidth="1"/>
    <col min="45" max="45" width="10.140625" style="222" customWidth="1"/>
    <col min="46" max="46" width="10.42578125" style="222" customWidth="1"/>
    <col min="47" max="47" width="11.28515625" style="222" customWidth="1"/>
    <col min="48" max="48" width="11.7109375" style="222" customWidth="1"/>
    <col min="49" max="49" width="10.42578125" style="222" customWidth="1"/>
    <col min="50" max="50" width="11.42578125" style="222" customWidth="1"/>
    <col min="51" max="51" width="10.140625" style="222" customWidth="1"/>
    <col min="52" max="52" width="10" style="178" bestFit="1" customWidth="1"/>
    <col min="53" max="55" width="12.7109375" style="351" customWidth="1"/>
    <col min="56" max="56" width="14" style="351" customWidth="1"/>
    <col min="57" max="57" width="12.85546875" style="351" customWidth="1"/>
    <col min="58" max="58" width="10.42578125" style="351" customWidth="1"/>
    <col min="59" max="59" width="9" style="351" customWidth="1"/>
    <col min="60" max="60" width="8.85546875" style="351" customWidth="1"/>
    <col min="61" max="61" width="10.85546875" style="351" customWidth="1"/>
    <col min="62" max="62" width="11.140625" style="351" customWidth="1"/>
    <col min="63" max="64" width="9.140625" style="351"/>
    <col min="65" max="65" width="8.85546875" style="178" customWidth="1"/>
    <col min="66" max="66" width="9.140625" style="223"/>
    <col min="67" max="67" width="12.5703125" style="176" customWidth="1"/>
    <col min="68" max="68" width="13.5703125" style="178" customWidth="1"/>
    <col min="69" max="69" width="12.7109375" style="203" customWidth="1"/>
    <col min="70" max="70" width="3.7109375" style="176" customWidth="1"/>
    <col min="71" max="71" width="12.42578125" style="176" bestFit="1" customWidth="1"/>
    <col min="72" max="72" width="3.5703125" style="176" customWidth="1"/>
    <col min="73" max="73" width="9.140625" style="178"/>
    <col min="74" max="74" width="11.140625" style="178" customWidth="1"/>
    <col min="75" max="75" width="9.140625" style="178"/>
    <col min="76" max="76" width="4.7109375" style="176" customWidth="1"/>
    <col min="77" max="77" width="3.7109375" style="176" customWidth="1"/>
    <col min="78" max="78" width="12.42578125" style="176" customWidth="1"/>
    <col min="79" max="79" width="11.85546875" style="176" customWidth="1"/>
    <col min="80" max="80" width="11.5703125" style="176" customWidth="1"/>
    <col min="81" max="81" width="11.7109375" style="176" customWidth="1"/>
    <col min="82" max="82" width="9.140625" style="176"/>
    <col min="83" max="83" width="9.140625" style="176" customWidth="1"/>
    <col min="84" max="16384" width="9.140625" style="176"/>
  </cols>
  <sheetData>
    <row r="1" spans="1:81" x14ac:dyDescent="0.2">
      <c r="A1" s="695" t="s">
        <v>521</v>
      </c>
      <c r="B1" s="695"/>
      <c r="C1" s="695"/>
      <c r="D1" s="695"/>
      <c r="E1" s="695"/>
    </row>
    <row r="2" spans="1:81" ht="15.75" x14ac:dyDescent="0.2">
      <c r="A2" s="695"/>
      <c r="B2" s="695"/>
      <c r="C2" s="695"/>
      <c r="D2" s="695"/>
      <c r="E2" s="695"/>
      <c r="G2" s="696" t="s">
        <v>22</v>
      </c>
      <c r="H2" s="696"/>
      <c r="AF2" s="222">
        <v>1.9257738538542499E-2</v>
      </c>
      <c r="AG2" s="222">
        <v>7.417209872377299E-4</v>
      </c>
      <c r="AH2" s="222">
        <v>1.2403450565440797E-3</v>
      </c>
      <c r="AI2">
        <v>20</v>
      </c>
      <c r="AJ2" s="222">
        <v>7.1523178807947021</v>
      </c>
      <c r="AK2" s="222">
        <v>0</v>
      </c>
      <c r="AL2" s="222">
        <v>8.3629954314142624E-4</v>
      </c>
      <c r="AM2" s="222">
        <v>1.5780205303791562E-3</v>
      </c>
      <c r="AO2" s="274" t="e">
        <f>Ifb</f>
        <v>#NAME?</v>
      </c>
    </row>
    <row r="3" spans="1:81" ht="13.5" thickBot="1" x14ac:dyDescent="0.25">
      <c r="A3" s="695"/>
      <c r="B3" s="695"/>
      <c r="C3" s="695"/>
      <c r="D3" s="695"/>
      <c r="E3" s="695"/>
    </row>
    <row r="4" spans="1:81" ht="13.5" thickBot="1" x14ac:dyDescent="0.25">
      <c r="A4" s="697"/>
      <c r="B4" s="697"/>
      <c r="C4" s="697"/>
      <c r="D4" s="697"/>
      <c r="E4" s="697"/>
      <c r="H4" s="226" t="s">
        <v>23</v>
      </c>
      <c r="I4" s="227"/>
      <c r="J4" s="228"/>
      <c r="K4" s="698" t="s">
        <v>190</v>
      </c>
      <c r="L4" s="691"/>
      <c r="M4" s="692"/>
      <c r="N4" s="692"/>
      <c r="O4" s="692"/>
      <c r="P4" s="691"/>
      <c r="Q4" s="691"/>
      <c r="R4" s="692"/>
      <c r="S4" s="692"/>
      <c r="T4" s="692"/>
      <c r="U4" s="694"/>
      <c r="V4" s="229" t="s">
        <v>191</v>
      </c>
      <c r="W4" s="230"/>
      <c r="X4" s="231"/>
      <c r="Y4" s="232"/>
      <c r="Z4" s="233" t="s">
        <v>14</v>
      </c>
      <c r="AA4" s="234"/>
      <c r="AB4" s="228"/>
      <c r="AC4" s="235" t="s">
        <v>28</v>
      </c>
      <c r="AD4" s="236"/>
      <c r="AE4" s="237"/>
      <c r="AF4" s="229" t="s">
        <v>192</v>
      </c>
      <c r="AG4" s="230"/>
      <c r="AH4" s="230"/>
      <c r="AI4" s="453"/>
      <c r="AJ4" s="453"/>
      <c r="AK4" s="230"/>
      <c r="AL4" s="230"/>
      <c r="AM4" s="228"/>
      <c r="AN4" s="238" t="s">
        <v>193</v>
      </c>
      <c r="AO4" s="239"/>
      <c r="AP4" s="239"/>
      <c r="AQ4" s="462" t="s">
        <v>194</v>
      </c>
      <c r="AR4" s="463"/>
      <c r="AS4" s="463"/>
      <c r="AT4" s="239"/>
      <c r="AU4" s="240"/>
      <c r="AV4" s="241"/>
      <c r="AW4" s="242"/>
      <c r="AX4" s="229" t="s">
        <v>180</v>
      </c>
      <c r="AY4" s="230"/>
      <c r="AZ4" s="231"/>
      <c r="BA4" s="352"/>
      <c r="BB4" s="352"/>
      <c r="BC4" s="352"/>
      <c r="BD4" s="352"/>
      <c r="BE4" s="352"/>
      <c r="BF4" s="352"/>
      <c r="BG4" s="352"/>
      <c r="BH4" s="352"/>
      <c r="BI4" s="352"/>
      <c r="BJ4" s="352"/>
      <c r="BK4" s="352"/>
      <c r="BL4" s="352"/>
      <c r="BM4" s="345"/>
      <c r="BN4" s="349"/>
      <c r="BO4" s="231"/>
      <c r="BP4" s="347"/>
      <c r="BQ4" s="459"/>
      <c r="BR4" s="460"/>
      <c r="BS4" s="460"/>
      <c r="BT4" s="460"/>
      <c r="BU4" s="460"/>
      <c r="BV4" s="460"/>
      <c r="BW4" s="460"/>
      <c r="BX4" s="460"/>
      <c r="BY4" s="460"/>
      <c r="BZ4" s="460"/>
      <c r="CA4" s="460"/>
      <c r="CB4" s="460"/>
      <c r="CC4" s="461"/>
    </row>
    <row r="5" spans="1:81" ht="78" customHeight="1" thickBot="1" x14ac:dyDescent="0.45">
      <c r="A5" s="243" t="s">
        <v>42</v>
      </c>
      <c r="B5" s="244"/>
      <c r="C5" s="244"/>
      <c r="D5" s="245"/>
      <c r="E5" s="246"/>
      <c r="F5" s="195"/>
      <c r="G5" s="195"/>
      <c r="H5" s="247" t="s">
        <v>25</v>
      </c>
      <c r="I5" s="248" t="s">
        <v>195</v>
      </c>
      <c r="J5" s="249" t="s">
        <v>196</v>
      </c>
      <c r="K5" s="257" t="s">
        <v>326</v>
      </c>
      <c r="L5" s="250" t="s">
        <v>48</v>
      </c>
      <c r="M5" s="250" t="s">
        <v>327</v>
      </c>
      <c r="N5" s="455" t="s">
        <v>197</v>
      </c>
      <c r="O5" s="543" t="s">
        <v>417</v>
      </c>
      <c r="P5" s="543" t="s">
        <v>418</v>
      </c>
      <c r="Q5" s="543" t="s">
        <v>419</v>
      </c>
      <c r="R5" s="251" t="s">
        <v>198</v>
      </c>
      <c r="S5" s="252" t="s">
        <v>199</v>
      </c>
      <c r="T5" s="252" t="s">
        <v>200</v>
      </c>
      <c r="U5" s="251" t="s">
        <v>331</v>
      </c>
      <c r="V5" s="253" t="s">
        <v>201</v>
      </c>
      <c r="W5" s="250" t="s">
        <v>202</v>
      </c>
      <c r="X5" s="248" t="s">
        <v>203</v>
      </c>
      <c r="Y5" s="249" t="s">
        <v>204</v>
      </c>
      <c r="Z5" s="254" t="s">
        <v>201</v>
      </c>
      <c r="AA5" s="250" t="s">
        <v>205</v>
      </c>
      <c r="AB5" s="249" t="s">
        <v>206</v>
      </c>
      <c r="AC5" s="253" t="s">
        <v>201</v>
      </c>
      <c r="AD5" s="255" t="s">
        <v>207</v>
      </c>
      <c r="AE5" s="256" t="s">
        <v>208</v>
      </c>
      <c r="AF5" s="253" t="s">
        <v>201</v>
      </c>
      <c r="AG5" s="250" t="s">
        <v>209</v>
      </c>
      <c r="AH5" s="250" t="s">
        <v>210</v>
      </c>
      <c r="AI5" s="250" t="s">
        <v>328</v>
      </c>
      <c r="AJ5" s="250" t="s">
        <v>325</v>
      </c>
      <c r="AK5" s="250" t="s">
        <v>211</v>
      </c>
      <c r="AL5" s="257" t="s">
        <v>212</v>
      </c>
      <c r="AM5" s="249" t="s">
        <v>213</v>
      </c>
      <c r="AN5" s="258" t="s">
        <v>201</v>
      </c>
      <c r="AO5" s="259" t="s">
        <v>214</v>
      </c>
      <c r="AP5" s="259" t="s">
        <v>215</v>
      </c>
      <c r="AQ5" s="259" t="s">
        <v>216</v>
      </c>
      <c r="AR5" s="259" t="s">
        <v>217</v>
      </c>
      <c r="AS5" s="260" t="s">
        <v>218</v>
      </c>
      <c r="AT5" s="258" t="s">
        <v>219</v>
      </c>
      <c r="AU5" s="258" t="s">
        <v>220</v>
      </c>
      <c r="AV5" s="258" t="s">
        <v>221</v>
      </c>
      <c r="AW5" s="261" t="s">
        <v>222</v>
      </c>
      <c r="AX5" s="253" t="s">
        <v>223</v>
      </c>
      <c r="AY5" s="250" t="s">
        <v>224</v>
      </c>
      <c r="AZ5" s="262" t="s">
        <v>225</v>
      </c>
      <c r="BA5" s="353" t="s">
        <v>226</v>
      </c>
      <c r="BB5" s="353" t="s">
        <v>227</v>
      </c>
      <c r="BC5" s="353" t="s">
        <v>228</v>
      </c>
      <c r="BD5" s="353" t="s">
        <v>229</v>
      </c>
      <c r="BE5" s="353" t="s">
        <v>230</v>
      </c>
      <c r="BF5" s="353" t="s">
        <v>231</v>
      </c>
      <c r="BG5" s="353" t="s">
        <v>232</v>
      </c>
      <c r="BH5" s="354" t="s">
        <v>233</v>
      </c>
      <c r="BI5" s="355" t="s">
        <v>234</v>
      </c>
      <c r="BJ5" s="356" t="s">
        <v>235</v>
      </c>
      <c r="BK5" s="357" t="s">
        <v>236</v>
      </c>
      <c r="BL5" s="356" t="s">
        <v>282</v>
      </c>
      <c r="BM5" s="346" t="s">
        <v>237</v>
      </c>
      <c r="BN5" s="350" t="s">
        <v>238</v>
      </c>
      <c r="BO5" s="263" t="s">
        <v>239</v>
      </c>
      <c r="BP5" s="348" t="s">
        <v>239</v>
      </c>
      <c r="BQ5" s="264" t="s">
        <v>240</v>
      </c>
      <c r="BR5" s="265"/>
      <c r="BS5" s="266" t="s">
        <v>241</v>
      </c>
      <c r="BT5" s="265"/>
      <c r="BU5" s="360" t="s">
        <v>284</v>
      </c>
      <c r="BV5" s="361" t="s">
        <v>285</v>
      </c>
      <c r="BW5" s="458" t="s">
        <v>283</v>
      </c>
      <c r="BX5" s="265"/>
      <c r="BY5" s="265"/>
      <c r="BZ5" s="457" t="s">
        <v>290</v>
      </c>
      <c r="CA5" s="261" t="s">
        <v>344</v>
      </c>
      <c r="CB5" s="361" t="s">
        <v>292</v>
      </c>
      <c r="CC5" s="458" t="s">
        <v>291</v>
      </c>
    </row>
    <row r="6" spans="1:81" x14ac:dyDescent="0.2">
      <c r="A6" s="267" t="s">
        <v>26</v>
      </c>
      <c r="B6" s="268" t="s">
        <v>43</v>
      </c>
      <c r="C6" s="269" t="s">
        <v>33</v>
      </c>
      <c r="D6" s="270" t="s">
        <v>90</v>
      </c>
      <c r="E6" s="271" t="s">
        <v>41</v>
      </c>
      <c r="F6" s="272"/>
      <c r="G6" s="272"/>
      <c r="H6" s="176">
        <v>0.1</v>
      </c>
      <c r="I6" s="468">
        <f t="shared" ref="I6:I37" si="0">IF(PLOT_TYPE=1, H6/100*Iout_max, min_I*EXP(H6*rr/100))</f>
        <v>1E-3</v>
      </c>
      <c r="J6" s="223"/>
      <c r="K6" s="223"/>
      <c r="L6" s="223"/>
      <c r="M6" s="223"/>
      <c r="N6" s="273"/>
      <c r="O6" s="178"/>
      <c r="P6" s="223"/>
      <c r="Q6" s="454"/>
      <c r="S6" s="274"/>
      <c r="T6" s="274"/>
      <c r="U6" s="274"/>
      <c r="AJ6" s="454"/>
      <c r="AY6" s="222">
        <f>Vout*I6</f>
        <v>5.0000000000000001E-3</v>
      </c>
      <c r="AZ6" s="275">
        <f>AY6/(AY6+AX6)</f>
        <v>1</v>
      </c>
      <c r="BA6" s="351">
        <f t="shared" ref="BA6:BA9" si="1">AG6/($AY6+$AX6)</f>
        <v>0</v>
      </c>
      <c r="BB6" s="351">
        <f>AO6/($AY6+$AX6)</f>
        <v>0</v>
      </c>
      <c r="BC6" s="351" t="e">
        <f t="shared" ref="BC6:BC9" si="2">Vin*R6*(QgBot+Qg)/($AY6+$AX6)</f>
        <v>#NAME?</v>
      </c>
      <c r="BD6" s="351">
        <f t="shared" ref="BD6:BD9" si="3">AK6/($AY6+$AX6)</f>
        <v>0</v>
      </c>
      <c r="BE6" s="351">
        <f t="shared" ref="BE6:BE9" si="4">AQ6/(AX6+AY6)</f>
        <v>0</v>
      </c>
      <c r="BF6" s="351">
        <f t="shared" ref="BF6:BF9" si="5">AR6/($AY6+$AX6)</f>
        <v>0</v>
      </c>
      <c r="BG6" s="351">
        <f t="shared" ref="BG6:BG9" si="6">W6/($AY6+$AX6)</f>
        <v>0</v>
      </c>
      <c r="BH6" s="351">
        <f t="shared" ref="BH6:BH9" si="7">X6/($AY6+$AX6)</f>
        <v>0</v>
      </c>
      <c r="BI6" s="351">
        <f t="shared" ref="BI6:BI9" si="8">(AB6+AE6)/($AY6+$AX6)</f>
        <v>0</v>
      </c>
      <c r="BJ6" s="225">
        <f>AT6/($AY6+$AX6)</f>
        <v>0</v>
      </c>
      <c r="BK6" s="225">
        <f>AX6/($AY6+$AX6)</f>
        <v>0</v>
      </c>
      <c r="BL6" s="225">
        <f>AZ6</f>
        <v>1</v>
      </c>
      <c r="BM6" s="178">
        <f>100*BL6</f>
        <v>100</v>
      </c>
      <c r="BN6" s="223">
        <f xml:space="preserve"> CHOOSE(MODE, I6*1000,#REF!)</f>
        <v>1</v>
      </c>
      <c r="BO6" s="178">
        <v>59.702372085750142</v>
      </c>
      <c r="BP6" s="225">
        <f>BO6/100</f>
        <v>0.59702372085750144</v>
      </c>
      <c r="BQ6" s="276">
        <f t="shared" ref="BQ6:BQ9" si="9">R6/1000</f>
        <v>0</v>
      </c>
      <c r="BR6" s="277"/>
      <c r="BS6" s="225">
        <f>AL6/($AY6+$AX6)</f>
        <v>0</v>
      </c>
      <c r="BT6" s="278"/>
      <c r="BU6" s="178">
        <f>1000*AW6</f>
        <v>0</v>
      </c>
      <c r="BV6" s="178">
        <f>1000*AU6</f>
        <v>0</v>
      </c>
      <c r="BW6" s="178">
        <f t="shared" ref="BW6:BW9" si="10">1000*Y6</f>
        <v>0</v>
      </c>
      <c r="BX6" s="225"/>
      <c r="BY6" s="225"/>
      <c r="BZ6" s="178">
        <f xml:space="preserve"> IF(MODE=1, BM6,#REF!)</f>
        <v>100</v>
      </c>
      <c r="CA6" s="178">
        <f xml:space="preserve"> IF(MODE=1, BU6,#REF!)</f>
        <v>0</v>
      </c>
      <c r="CB6" s="178">
        <f xml:space="preserve"> IF(MODE=1, BV6,#REF!)</f>
        <v>0</v>
      </c>
      <c r="CC6" s="178">
        <f xml:space="preserve"> IF(MODE=1, BW6,#REF!)</f>
        <v>0</v>
      </c>
    </row>
    <row r="7" spans="1:81" x14ac:dyDescent="0.2">
      <c r="A7" s="425"/>
      <c r="B7" s="268"/>
      <c r="C7" s="269"/>
      <c r="D7" s="270"/>
      <c r="E7" s="271"/>
      <c r="F7" s="272"/>
      <c r="G7" s="272"/>
      <c r="H7" s="176">
        <v>1</v>
      </c>
      <c r="I7" s="468">
        <f t="shared" si="0"/>
        <v>0.01</v>
      </c>
      <c r="J7" s="223"/>
      <c r="K7" s="223"/>
      <c r="L7" s="223"/>
      <c r="M7" s="223"/>
      <c r="N7" s="273"/>
      <c r="O7" s="178"/>
      <c r="P7" s="223"/>
      <c r="Q7" s="454"/>
      <c r="S7" s="274"/>
      <c r="T7" s="274"/>
      <c r="U7" s="274"/>
      <c r="AJ7" s="454"/>
      <c r="AY7" s="222">
        <f>Vout*I7</f>
        <v>0.05</v>
      </c>
      <c r="AZ7" s="275">
        <f>AY7/(AY7+AX7)</f>
        <v>1</v>
      </c>
      <c r="BA7" s="351">
        <f t="shared" si="1"/>
        <v>0</v>
      </c>
      <c r="BB7" s="351">
        <f>AO7/($AY7+$AX7)</f>
        <v>0</v>
      </c>
      <c r="BC7" s="351" t="e">
        <f t="shared" si="2"/>
        <v>#NAME?</v>
      </c>
      <c r="BD7" s="351">
        <f t="shared" ref="BD7" si="11">AK7/($AY7+$AX7)</f>
        <v>0</v>
      </c>
      <c r="BE7" s="351">
        <f t="shared" ref="BE7" si="12">AQ7/(AX7+AY7)</f>
        <v>0</v>
      </c>
      <c r="BF7" s="351">
        <f t="shared" ref="BF7" si="13">AR7/($AY7+$AX7)</f>
        <v>0</v>
      </c>
      <c r="BG7" s="351">
        <f t="shared" si="6"/>
        <v>0</v>
      </c>
      <c r="BH7" s="351">
        <f t="shared" si="7"/>
        <v>0</v>
      </c>
      <c r="BI7" s="351">
        <f t="shared" si="8"/>
        <v>0</v>
      </c>
      <c r="BJ7" s="225">
        <f>AT7/($AY7+$AX7)</f>
        <v>0</v>
      </c>
      <c r="BK7" s="225">
        <f t="shared" ref="BK7:BK9" si="14">AX7/($AY7+$AX7)</f>
        <v>0</v>
      </c>
      <c r="BL7" s="225">
        <f>AZ7</f>
        <v>1</v>
      </c>
      <c r="BM7" s="178">
        <f>100*BL7</f>
        <v>100</v>
      </c>
      <c r="BN7" s="223">
        <f xml:space="preserve"> CHOOSE(MODE, I7*1000,#REF!)</f>
        <v>10</v>
      </c>
      <c r="BO7" s="178">
        <v>83.682599061581868</v>
      </c>
      <c r="BP7" s="225">
        <f t="shared" ref="BP7:BP9" si="15">BO7/100</f>
        <v>0.83682599061581864</v>
      </c>
      <c r="BQ7" s="276">
        <f t="shared" si="9"/>
        <v>0</v>
      </c>
      <c r="BR7" s="277"/>
      <c r="BS7" s="225">
        <f>AL7/($AY7+$AX7)</f>
        <v>0</v>
      </c>
      <c r="BT7" s="278"/>
      <c r="BU7" s="178">
        <f>1000*AW7</f>
        <v>0</v>
      </c>
      <c r="BV7" s="178">
        <f>1000*AU7</f>
        <v>0</v>
      </c>
      <c r="BW7" s="178">
        <f t="shared" si="10"/>
        <v>0</v>
      </c>
      <c r="BX7" s="225"/>
      <c r="BY7" s="225"/>
      <c r="BZ7" s="178">
        <f xml:space="preserve"> IF(MODE=1, BM7,#REF!)</f>
        <v>100</v>
      </c>
      <c r="CA7" s="178">
        <f xml:space="preserve"> IF(MODE=1, BU7,#REF!)</f>
        <v>0</v>
      </c>
      <c r="CB7" s="178">
        <f xml:space="preserve"> IF(MODE=1, BV7,#REF!)</f>
        <v>0</v>
      </c>
      <c r="CC7" s="178">
        <f xml:space="preserve"> IF(MODE=1, BW7,#REF!)</f>
        <v>0</v>
      </c>
    </row>
    <row r="8" spans="1:81" x14ac:dyDescent="0.2">
      <c r="A8" s="279" t="s">
        <v>3</v>
      </c>
      <c r="B8" s="280">
        <f>Vin</f>
        <v>24</v>
      </c>
      <c r="C8" s="281" t="s">
        <v>0</v>
      </c>
      <c r="D8" s="200">
        <f>B8</f>
        <v>24</v>
      </c>
      <c r="E8" s="194" t="s">
        <v>3</v>
      </c>
      <c r="F8" s="272"/>
      <c r="G8" s="272"/>
      <c r="H8" s="176">
        <v>2</v>
      </c>
      <c r="I8" s="468">
        <f t="shared" si="0"/>
        <v>0.02</v>
      </c>
      <c r="J8" s="223"/>
      <c r="K8" s="223"/>
      <c r="L8" s="223"/>
      <c r="M8" s="223"/>
      <c r="N8" s="273"/>
      <c r="O8" s="178"/>
      <c r="P8" s="223"/>
      <c r="Q8" s="454"/>
      <c r="S8" s="274"/>
      <c r="T8" s="274"/>
      <c r="U8" s="274"/>
      <c r="AJ8" s="454"/>
      <c r="AY8" s="222">
        <f>Vout*I8</f>
        <v>0.1</v>
      </c>
      <c r="AZ8" s="275">
        <f>AY8/(AY8+AX8)</f>
        <v>1</v>
      </c>
      <c r="BA8" s="351">
        <f t="shared" si="1"/>
        <v>0</v>
      </c>
      <c r="BB8" s="351">
        <f t="shared" ref="BB8:BB9" si="16">AO8/($AY8+$AX8)</f>
        <v>0</v>
      </c>
      <c r="BC8" s="351" t="e">
        <f t="shared" si="2"/>
        <v>#NAME?</v>
      </c>
      <c r="BD8" s="351">
        <f t="shared" si="3"/>
        <v>0</v>
      </c>
      <c r="BE8" s="351">
        <f t="shared" si="4"/>
        <v>0</v>
      </c>
      <c r="BF8" s="351">
        <f t="shared" si="5"/>
        <v>0</v>
      </c>
      <c r="BG8" s="351">
        <f t="shared" si="6"/>
        <v>0</v>
      </c>
      <c r="BH8" s="351">
        <f t="shared" si="7"/>
        <v>0</v>
      </c>
      <c r="BI8" s="351">
        <f t="shared" si="8"/>
        <v>0</v>
      </c>
      <c r="BJ8" s="225">
        <f t="shared" ref="BJ8:BJ9" si="17">AT8/($AY8+$AX8)</f>
        <v>0</v>
      </c>
      <c r="BK8" s="225">
        <f t="shared" si="14"/>
        <v>0</v>
      </c>
      <c r="BL8" s="225">
        <f t="shared" ref="BL8:BL9" si="18">AZ8</f>
        <v>1</v>
      </c>
      <c r="BM8" s="178">
        <f t="shared" ref="BM8:BM9" si="19">100*BL8</f>
        <v>100</v>
      </c>
      <c r="BN8" s="223">
        <f xml:space="preserve"> CHOOSE(MODE, I8*1000,#REF!)</f>
        <v>20</v>
      </c>
      <c r="BO8" s="178">
        <v>85.591306536493136</v>
      </c>
      <c r="BP8" s="225">
        <f t="shared" si="15"/>
        <v>0.85591306536493139</v>
      </c>
      <c r="BQ8" s="276">
        <f t="shared" si="9"/>
        <v>0</v>
      </c>
      <c r="BR8" s="277"/>
      <c r="BS8" s="225">
        <f t="shared" ref="BS8:BS9" si="20">AL8/($AY8+$AX8)</f>
        <v>0</v>
      </c>
      <c r="BT8" s="278"/>
      <c r="BU8" s="178">
        <f t="shared" ref="BU8:BU9" si="21">1000*AW8</f>
        <v>0</v>
      </c>
      <c r="BV8" s="178">
        <f t="shared" ref="BV8:BV9" si="22">1000*AU8</f>
        <v>0</v>
      </c>
      <c r="BW8" s="178">
        <f t="shared" si="10"/>
        <v>0</v>
      </c>
      <c r="BX8" s="225"/>
      <c r="BY8" s="225"/>
      <c r="BZ8" s="178">
        <f xml:space="preserve"> IF(MODE=1, BM8,#REF!)</f>
        <v>100</v>
      </c>
      <c r="CA8" s="178">
        <f xml:space="preserve"> IF(MODE=1, BU8,#REF!)</f>
        <v>0</v>
      </c>
      <c r="CB8" s="178">
        <f xml:space="preserve"> IF(MODE=1, BV8,#REF!)</f>
        <v>0</v>
      </c>
      <c r="CC8" s="178">
        <f xml:space="preserve"> IF(MODE=1, BW8,#REF!)</f>
        <v>0</v>
      </c>
    </row>
    <row r="9" spans="1:81" x14ac:dyDescent="0.2">
      <c r="A9" s="282" t="s">
        <v>4</v>
      </c>
      <c r="B9" s="280">
        <f>Vout</f>
        <v>5</v>
      </c>
      <c r="C9" s="281" t="s">
        <v>0</v>
      </c>
      <c r="D9" s="200">
        <f>B9</f>
        <v>5</v>
      </c>
      <c r="E9" s="194" t="s">
        <v>4</v>
      </c>
      <c r="F9" s="272"/>
      <c r="G9" s="272"/>
      <c r="H9" s="176">
        <v>3</v>
      </c>
      <c r="I9" s="468">
        <f t="shared" si="0"/>
        <v>0.03</v>
      </c>
      <c r="J9" s="223"/>
      <c r="K9" s="223"/>
      <c r="L9" s="223"/>
      <c r="M9" s="223"/>
      <c r="N9" s="273"/>
      <c r="O9" s="178"/>
      <c r="P9" s="223"/>
      <c r="Q9" s="454"/>
      <c r="S9" s="274"/>
      <c r="T9" s="274"/>
      <c r="U9" s="274"/>
      <c r="AJ9" s="454"/>
      <c r="AY9" s="222">
        <f>Vout*I9</f>
        <v>0.15</v>
      </c>
      <c r="AZ9" s="275">
        <f t="shared" ref="AZ9" si="23">AY9/(AY9+AX9)</f>
        <v>1</v>
      </c>
      <c r="BA9" s="351">
        <f t="shared" si="1"/>
        <v>0</v>
      </c>
      <c r="BB9" s="351">
        <f t="shared" si="16"/>
        <v>0</v>
      </c>
      <c r="BC9" s="351" t="e">
        <f t="shared" si="2"/>
        <v>#NAME?</v>
      </c>
      <c r="BD9" s="351">
        <f t="shared" si="3"/>
        <v>0</v>
      </c>
      <c r="BE9" s="351">
        <f t="shared" si="4"/>
        <v>0</v>
      </c>
      <c r="BF9" s="351">
        <f t="shared" si="5"/>
        <v>0</v>
      </c>
      <c r="BG9" s="351">
        <f t="shared" si="6"/>
        <v>0</v>
      </c>
      <c r="BH9" s="351">
        <f t="shared" si="7"/>
        <v>0</v>
      </c>
      <c r="BI9" s="351">
        <f t="shared" si="8"/>
        <v>0</v>
      </c>
      <c r="BJ9" s="225">
        <f t="shared" si="17"/>
        <v>0</v>
      </c>
      <c r="BK9" s="225">
        <f t="shared" si="14"/>
        <v>0</v>
      </c>
      <c r="BL9" s="225">
        <f t="shared" si="18"/>
        <v>1</v>
      </c>
      <c r="BM9" s="178">
        <f t="shared" si="19"/>
        <v>100</v>
      </c>
      <c r="BN9" s="223">
        <f xml:space="preserve"> CHOOSE(MODE, I9*1000,#REF!)</f>
        <v>30</v>
      </c>
      <c r="BO9" s="178">
        <v>86.246143423411425</v>
      </c>
      <c r="BP9" s="225">
        <f t="shared" si="15"/>
        <v>0.86246143423411425</v>
      </c>
      <c r="BQ9" s="276">
        <f t="shared" si="9"/>
        <v>0</v>
      </c>
      <c r="BR9" s="277"/>
      <c r="BS9" s="225">
        <f t="shared" si="20"/>
        <v>0</v>
      </c>
      <c r="BT9" s="278"/>
      <c r="BU9" s="178">
        <f t="shared" si="21"/>
        <v>0</v>
      </c>
      <c r="BV9" s="178">
        <f t="shared" si="22"/>
        <v>0</v>
      </c>
      <c r="BW9" s="178">
        <f t="shared" si="10"/>
        <v>0</v>
      </c>
      <c r="BX9" s="225"/>
      <c r="BY9" s="225"/>
      <c r="BZ9" s="178">
        <f xml:space="preserve"> IF(MODE=1, BM9,#REF!)</f>
        <v>100</v>
      </c>
      <c r="CA9" s="178">
        <f xml:space="preserve"> IF(MODE=1, BU9,#REF!)</f>
        <v>0</v>
      </c>
      <c r="CB9" s="178">
        <f xml:space="preserve"> IF(MODE=1, BV9,#REF!)</f>
        <v>0</v>
      </c>
      <c r="CC9" s="178">
        <f xml:space="preserve"> IF(MODE=1, BW9,#REF!)</f>
        <v>0</v>
      </c>
    </row>
    <row r="10" spans="1:81" x14ac:dyDescent="0.2">
      <c r="A10" s="282" t="s">
        <v>5</v>
      </c>
      <c r="B10" s="280">
        <f>Iout</f>
        <v>1</v>
      </c>
      <c r="C10" s="281" t="s">
        <v>1</v>
      </c>
      <c r="D10" s="200">
        <f>B10</f>
        <v>1</v>
      </c>
      <c r="E10" s="283" t="s">
        <v>242</v>
      </c>
      <c r="F10" s="272"/>
      <c r="G10" s="272"/>
      <c r="H10" s="176">
        <v>4</v>
      </c>
      <c r="I10" s="468">
        <f t="shared" si="0"/>
        <v>0.04</v>
      </c>
      <c r="J10" s="223"/>
      <c r="K10" s="223"/>
      <c r="L10" s="223"/>
      <c r="M10" s="223"/>
      <c r="N10" s="273"/>
      <c r="O10" s="178"/>
      <c r="P10" s="223"/>
      <c r="Q10" s="454"/>
      <c r="S10" s="274"/>
      <c r="T10" s="274"/>
      <c r="U10" s="274"/>
      <c r="AJ10" s="454"/>
      <c r="AZ10" s="275"/>
      <c r="BJ10" s="225"/>
      <c r="BK10" s="225"/>
      <c r="BL10" s="225"/>
      <c r="BO10" s="178"/>
      <c r="BP10" s="225"/>
      <c r="BQ10" s="276"/>
      <c r="BR10" s="277"/>
      <c r="BS10" s="225"/>
      <c r="BT10" s="278"/>
      <c r="BX10" s="225"/>
      <c r="BY10" s="225"/>
      <c r="BZ10" s="178"/>
      <c r="CA10" s="178"/>
      <c r="CB10" s="178"/>
      <c r="CC10" s="178"/>
    </row>
    <row r="11" spans="1:81" x14ac:dyDescent="0.2">
      <c r="A11" s="282" t="s">
        <v>139</v>
      </c>
      <c r="B11" s="363">
        <f>Vout/(Fsw/1000)*100000/16</f>
        <v>62500</v>
      </c>
      <c r="C11" s="284" t="s">
        <v>243</v>
      </c>
      <c r="D11" s="298">
        <f>B11*1000</f>
        <v>62500000</v>
      </c>
      <c r="E11" s="283"/>
      <c r="F11" s="272"/>
      <c r="G11" s="272"/>
      <c r="H11" s="176">
        <v>5</v>
      </c>
      <c r="I11" s="468">
        <f t="shared" si="0"/>
        <v>0.05</v>
      </c>
      <c r="J11" s="223"/>
      <c r="K11" s="223"/>
      <c r="L11" s="223"/>
      <c r="M11" s="223"/>
      <c r="N11" s="273"/>
      <c r="O11" s="178"/>
      <c r="P11" s="223"/>
      <c r="Q11" s="454"/>
      <c r="S11" s="274"/>
      <c r="T11" s="274"/>
      <c r="U11" s="274"/>
      <c r="AJ11" s="454"/>
      <c r="AZ11" s="275"/>
      <c r="BJ11" s="225"/>
      <c r="BK11" s="225"/>
      <c r="BL11" s="225"/>
      <c r="BO11" s="178"/>
      <c r="BP11" s="225"/>
      <c r="BQ11" s="276"/>
      <c r="BR11" s="277"/>
      <c r="BS11" s="225"/>
      <c r="BT11" s="278"/>
      <c r="BX11" s="225"/>
      <c r="BY11" s="225"/>
      <c r="BZ11" s="178"/>
      <c r="CA11" s="178"/>
      <c r="CB11" s="178"/>
      <c r="CC11" s="178"/>
    </row>
    <row r="12" spans="1:81" x14ac:dyDescent="0.2">
      <c r="A12" s="282" t="s">
        <v>244</v>
      </c>
      <c r="B12" s="280">
        <v>25</v>
      </c>
      <c r="C12" s="281" t="s">
        <v>102</v>
      </c>
      <c r="D12" s="200">
        <f>B12</f>
        <v>25</v>
      </c>
      <c r="E12" s="283" t="s">
        <v>245</v>
      </c>
      <c r="F12" s="272">
        <f>Turns_Ratio</f>
        <v>3</v>
      </c>
      <c r="H12" s="176">
        <v>6</v>
      </c>
      <c r="I12" s="468">
        <f t="shared" si="0"/>
        <v>0.06</v>
      </c>
      <c r="J12" s="223"/>
      <c r="K12" s="223"/>
      <c r="L12" s="223"/>
      <c r="M12" s="223"/>
      <c r="N12" s="273"/>
      <c r="O12" s="178"/>
      <c r="P12" s="223"/>
      <c r="Q12" s="454"/>
      <c r="S12" s="274"/>
      <c r="T12" s="274"/>
      <c r="U12" s="274"/>
      <c r="AJ12" s="454"/>
      <c r="AZ12" s="275"/>
      <c r="BJ12" s="225"/>
      <c r="BK12" s="225"/>
      <c r="BL12" s="225"/>
      <c r="BO12" s="178"/>
      <c r="BP12" s="225"/>
      <c r="BQ12" s="276"/>
      <c r="BR12" s="277"/>
      <c r="BS12" s="225"/>
      <c r="BT12" s="278"/>
      <c r="BX12" s="225"/>
      <c r="BY12" s="225"/>
      <c r="BZ12" s="178"/>
      <c r="CA12" s="178"/>
      <c r="CB12" s="178"/>
      <c r="CC12" s="178"/>
    </row>
    <row r="13" spans="1:81" x14ac:dyDescent="0.2">
      <c r="A13" s="285" t="s">
        <v>246</v>
      </c>
      <c r="B13" s="286">
        <v>5</v>
      </c>
      <c r="C13" s="281" t="s">
        <v>0</v>
      </c>
      <c r="D13" s="200">
        <f>B13</f>
        <v>5</v>
      </c>
      <c r="E13" s="283"/>
      <c r="F13" s="272"/>
      <c r="G13" s="272"/>
      <c r="H13" s="176">
        <v>7</v>
      </c>
      <c r="I13" s="468">
        <f t="shared" si="0"/>
        <v>7.0000000000000007E-2</v>
      </c>
      <c r="J13" s="223"/>
      <c r="K13" s="223"/>
      <c r="L13" s="223"/>
      <c r="M13" s="223"/>
      <c r="N13" s="273"/>
      <c r="O13" s="178"/>
      <c r="P13" s="223"/>
      <c r="Q13" s="454"/>
      <c r="S13" s="274"/>
      <c r="T13" s="274"/>
      <c r="U13" s="274"/>
      <c r="AJ13" s="454"/>
      <c r="AZ13" s="275"/>
      <c r="BJ13" s="225"/>
      <c r="BK13" s="225"/>
      <c r="BL13" s="225"/>
      <c r="BO13" s="178"/>
      <c r="BP13" s="225"/>
      <c r="BQ13" s="276"/>
      <c r="BR13" s="277"/>
      <c r="BS13" s="225"/>
      <c r="BT13" s="278"/>
      <c r="BX13" s="225"/>
      <c r="BY13" s="225"/>
      <c r="BZ13" s="178"/>
      <c r="CA13" s="178"/>
      <c r="CB13" s="178"/>
      <c r="CC13" s="178"/>
    </row>
    <row r="14" spans="1:81" x14ac:dyDescent="0.2">
      <c r="F14" s="272"/>
      <c r="G14" s="272"/>
      <c r="H14" s="176">
        <v>8</v>
      </c>
      <c r="I14" s="468">
        <f t="shared" si="0"/>
        <v>0.08</v>
      </c>
      <c r="J14" s="223"/>
      <c r="K14" s="223"/>
      <c r="L14" s="223"/>
      <c r="M14" s="223"/>
      <c r="N14" s="273"/>
      <c r="O14" s="178"/>
      <c r="P14" s="223"/>
      <c r="Q14" s="454"/>
      <c r="S14" s="274"/>
      <c r="T14" s="274"/>
      <c r="U14" s="274"/>
      <c r="AJ14" s="454"/>
      <c r="AZ14" s="275"/>
      <c r="BJ14" s="225"/>
      <c r="BK14" s="225"/>
      <c r="BL14" s="225"/>
      <c r="BO14" s="178"/>
      <c r="BP14" s="225"/>
      <c r="BQ14" s="276"/>
      <c r="BR14" s="277"/>
      <c r="BS14" s="225"/>
      <c r="BT14" s="278"/>
      <c r="BX14" s="225"/>
      <c r="BY14" s="225"/>
      <c r="BZ14" s="178"/>
      <c r="CA14" s="178"/>
      <c r="CB14" s="178"/>
      <c r="CC14" s="178"/>
    </row>
    <row r="15" spans="1:81" x14ac:dyDescent="0.2">
      <c r="A15" s="287" t="s">
        <v>34</v>
      </c>
      <c r="B15" s="245"/>
      <c r="C15" s="245"/>
      <c r="D15" s="245"/>
      <c r="E15" s="246"/>
      <c r="F15" s="272"/>
      <c r="G15" s="272"/>
      <c r="H15" s="176">
        <v>9</v>
      </c>
      <c r="I15" s="468">
        <f t="shared" si="0"/>
        <v>0.09</v>
      </c>
      <c r="J15" s="223"/>
      <c r="K15" s="223"/>
      <c r="L15" s="223"/>
      <c r="M15" s="223"/>
      <c r="N15" s="273"/>
      <c r="O15" s="178"/>
      <c r="P15" s="223"/>
      <c r="Q15" s="454"/>
      <c r="S15" s="274"/>
      <c r="T15" s="274"/>
      <c r="U15" s="274"/>
      <c r="AJ15" s="454"/>
      <c r="AZ15" s="275"/>
      <c r="BJ15" s="225"/>
      <c r="BK15" s="225"/>
      <c r="BL15" s="225"/>
      <c r="BO15" s="178"/>
      <c r="BP15" s="225"/>
      <c r="BQ15" s="276"/>
      <c r="BR15" s="277"/>
      <c r="BS15" s="225"/>
      <c r="BT15" s="278"/>
      <c r="BX15" s="225"/>
      <c r="BY15" s="225"/>
      <c r="BZ15" s="178"/>
      <c r="CA15" s="178"/>
      <c r="CB15" s="178"/>
      <c r="CC15" s="178"/>
    </row>
    <row r="16" spans="1:81" x14ac:dyDescent="0.2">
      <c r="A16" s="288" t="s">
        <v>26</v>
      </c>
      <c r="B16" s="268" t="s">
        <v>6</v>
      </c>
      <c r="C16" s="289" t="s">
        <v>33</v>
      </c>
      <c r="D16" s="290" t="s">
        <v>90</v>
      </c>
      <c r="E16" s="271" t="s">
        <v>41</v>
      </c>
      <c r="F16" s="272"/>
      <c r="G16" s="272"/>
      <c r="H16" s="176">
        <v>10</v>
      </c>
      <c r="I16" s="468">
        <f t="shared" si="0"/>
        <v>0.1</v>
      </c>
      <c r="J16" s="223"/>
      <c r="K16" s="223"/>
      <c r="L16" s="223"/>
      <c r="M16" s="223"/>
      <c r="N16" s="273"/>
      <c r="O16" s="178"/>
      <c r="P16" s="223"/>
      <c r="Q16" s="454"/>
      <c r="S16" s="274"/>
      <c r="T16" s="274"/>
      <c r="U16" s="274"/>
      <c r="AJ16" s="454"/>
      <c r="AZ16" s="275"/>
      <c r="BJ16" s="225"/>
      <c r="BK16" s="225"/>
      <c r="BL16" s="225"/>
      <c r="BO16" s="178"/>
      <c r="BP16" s="225"/>
      <c r="BQ16" s="276"/>
      <c r="BR16" s="277"/>
      <c r="BS16" s="225"/>
      <c r="BT16" s="278"/>
      <c r="BX16" s="225"/>
      <c r="BY16" s="225"/>
      <c r="BZ16" s="178"/>
      <c r="CA16" s="178"/>
      <c r="CB16" s="178"/>
      <c r="CC16" s="178"/>
    </row>
    <row r="17" spans="1:81" x14ac:dyDescent="0.2">
      <c r="A17" s="291" t="s">
        <v>247</v>
      </c>
      <c r="B17" s="292">
        <f>Vout/Vin/Fsw*1000000</f>
        <v>416.66666666666669</v>
      </c>
      <c r="C17" s="293" t="s">
        <v>248</v>
      </c>
      <c r="D17" s="294">
        <f>B17/1000000</f>
        <v>4.1666666666666669E-4</v>
      </c>
      <c r="E17" s="283" t="s">
        <v>249</v>
      </c>
      <c r="F17" s="272"/>
      <c r="G17" s="272"/>
      <c r="H17" s="176">
        <v>11</v>
      </c>
      <c r="I17" s="468">
        <f t="shared" si="0"/>
        <v>0.11</v>
      </c>
      <c r="J17" s="223"/>
      <c r="K17" s="223"/>
      <c r="L17" s="223"/>
      <c r="M17" s="223"/>
      <c r="N17" s="273"/>
      <c r="O17" s="178"/>
      <c r="P17" s="223"/>
      <c r="Q17" s="454"/>
      <c r="S17" s="274"/>
      <c r="T17" s="274"/>
      <c r="U17" s="274"/>
      <c r="AJ17" s="454"/>
      <c r="AZ17" s="275"/>
      <c r="BJ17" s="225"/>
      <c r="BK17" s="225"/>
      <c r="BL17" s="225"/>
      <c r="BO17" s="178"/>
      <c r="BP17" s="225"/>
      <c r="BQ17" s="276"/>
      <c r="BR17" s="277"/>
      <c r="BS17" s="225"/>
      <c r="BT17" s="278"/>
      <c r="BX17" s="225"/>
      <c r="BY17" s="225"/>
      <c r="BZ17" s="178"/>
      <c r="CA17" s="178"/>
      <c r="CB17" s="178"/>
      <c r="CC17" s="178"/>
    </row>
    <row r="18" spans="1:81" x14ac:dyDescent="0.2">
      <c r="A18" s="291" t="s">
        <v>250</v>
      </c>
      <c r="B18" s="292"/>
      <c r="C18" s="293" t="s">
        <v>248</v>
      </c>
      <c r="D18" s="295">
        <f>B18/1000000</f>
        <v>0</v>
      </c>
      <c r="E18" s="281" t="s">
        <v>251</v>
      </c>
      <c r="F18" s="272"/>
      <c r="G18" s="272"/>
      <c r="H18" s="176">
        <v>12</v>
      </c>
      <c r="I18" s="468">
        <f t="shared" si="0"/>
        <v>0.12</v>
      </c>
      <c r="J18" s="223"/>
      <c r="K18" s="223"/>
      <c r="L18" s="223"/>
      <c r="M18" s="223"/>
      <c r="N18" s="273"/>
      <c r="O18" s="178"/>
      <c r="P18" s="223"/>
      <c r="Q18" s="454"/>
      <c r="S18" s="274"/>
      <c r="T18" s="274"/>
      <c r="U18" s="274"/>
      <c r="AJ18" s="454"/>
      <c r="AZ18" s="275"/>
      <c r="BJ18" s="225"/>
      <c r="BK18" s="225"/>
      <c r="BL18" s="225"/>
      <c r="BO18" s="178"/>
      <c r="BP18" s="225"/>
      <c r="BQ18" s="276"/>
      <c r="BR18" s="277"/>
      <c r="BS18" s="225"/>
      <c r="BT18" s="278"/>
      <c r="BX18" s="225"/>
      <c r="BY18" s="225"/>
      <c r="BZ18" s="178"/>
      <c r="CA18" s="178"/>
      <c r="CB18" s="178"/>
      <c r="CC18" s="178"/>
    </row>
    <row r="19" spans="1:81" ht="15.75" x14ac:dyDescent="0.3">
      <c r="A19" s="285" t="s">
        <v>252</v>
      </c>
      <c r="B19" s="296">
        <f>(Vin-Vout-(Rdcr_pri+Rdson)*Iout)/L*OnTime*1000</f>
        <v>256250</v>
      </c>
      <c r="C19" s="283" t="s">
        <v>30</v>
      </c>
      <c r="D19" s="196">
        <f>B19/1000</f>
        <v>256.25</v>
      </c>
      <c r="E19" s="281" t="s">
        <v>253</v>
      </c>
      <c r="F19" s="272"/>
      <c r="G19" s="272"/>
      <c r="H19" s="176">
        <v>13</v>
      </c>
      <c r="I19" s="468">
        <f t="shared" si="0"/>
        <v>0.13</v>
      </c>
      <c r="J19" s="223"/>
      <c r="K19" s="223"/>
      <c r="L19" s="223"/>
      <c r="M19" s="223"/>
      <c r="N19" s="273"/>
      <c r="O19" s="178"/>
      <c r="P19" s="223"/>
      <c r="Q19" s="454"/>
      <c r="S19" s="274"/>
      <c r="T19" s="274"/>
      <c r="U19" s="274"/>
      <c r="AJ19" s="454"/>
      <c r="AZ19" s="275"/>
      <c r="BJ19" s="225"/>
      <c r="BK19" s="225"/>
      <c r="BL19" s="225"/>
      <c r="BO19" s="178"/>
      <c r="BP19" s="225"/>
      <c r="BQ19" s="276"/>
      <c r="BR19" s="277"/>
      <c r="BS19" s="225"/>
      <c r="BT19" s="278"/>
      <c r="BX19" s="225"/>
      <c r="BY19" s="225"/>
      <c r="BZ19" s="178"/>
      <c r="CA19" s="178"/>
      <c r="CB19" s="178"/>
      <c r="CC19" s="178"/>
    </row>
    <row r="20" spans="1:81" x14ac:dyDescent="0.2">
      <c r="A20" s="291" t="s">
        <v>254</v>
      </c>
      <c r="B20" s="297">
        <f>'Design Converter'!E13</f>
        <v>0.5</v>
      </c>
      <c r="C20" s="281" t="s">
        <v>2</v>
      </c>
      <c r="D20" s="298">
        <f>B20*1000</f>
        <v>500</v>
      </c>
      <c r="E20" s="283" t="s">
        <v>255</v>
      </c>
      <c r="F20" s="365"/>
      <c r="G20" s="272"/>
      <c r="H20" s="176">
        <v>14</v>
      </c>
      <c r="I20" s="468">
        <f t="shared" si="0"/>
        <v>0.14000000000000001</v>
      </c>
      <c r="J20" s="223"/>
      <c r="K20" s="223"/>
      <c r="L20" s="223"/>
      <c r="M20" s="223"/>
      <c r="N20" s="273"/>
      <c r="O20" s="178"/>
      <c r="P20" s="223"/>
      <c r="Q20" s="454"/>
      <c r="S20" s="274"/>
      <c r="T20" s="274"/>
      <c r="U20" s="274"/>
      <c r="AJ20" s="454"/>
      <c r="AZ20" s="275"/>
      <c r="BJ20" s="225"/>
      <c r="BK20" s="225"/>
      <c r="BL20" s="225"/>
      <c r="BO20" s="178"/>
      <c r="BP20" s="225"/>
      <c r="BQ20" s="276"/>
      <c r="BR20" s="277"/>
      <c r="BS20" s="225"/>
      <c r="BT20" s="278"/>
      <c r="BX20" s="225"/>
      <c r="BY20" s="225"/>
      <c r="BZ20" s="178"/>
      <c r="CA20" s="178"/>
      <c r="CB20" s="178"/>
      <c r="CC20" s="178"/>
    </row>
    <row r="21" spans="1:81" x14ac:dyDescent="0.2">
      <c r="A21" s="291" t="s">
        <v>423</v>
      </c>
      <c r="B21" s="296">
        <v>350</v>
      </c>
      <c r="C21" s="283" t="s">
        <v>2</v>
      </c>
      <c r="D21" s="298">
        <f>B21*1000</f>
        <v>350000</v>
      </c>
      <c r="E21" s="283" t="s">
        <v>424</v>
      </c>
      <c r="F21" s="272"/>
      <c r="G21" s="272"/>
      <c r="H21" s="176">
        <v>15</v>
      </c>
      <c r="I21" s="468">
        <f t="shared" si="0"/>
        <v>0.15</v>
      </c>
      <c r="J21" s="223"/>
      <c r="K21" s="223"/>
      <c r="L21" s="223"/>
      <c r="M21" s="223"/>
      <c r="N21" s="273"/>
      <c r="O21" s="178"/>
      <c r="P21" s="223"/>
      <c r="Q21" s="454"/>
      <c r="S21" s="274"/>
      <c r="T21" s="274"/>
      <c r="U21" s="274"/>
      <c r="AJ21" s="454"/>
      <c r="AZ21" s="275"/>
      <c r="BJ21" s="225"/>
      <c r="BK21" s="225"/>
      <c r="BL21" s="225"/>
      <c r="BO21" s="178"/>
      <c r="BP21" s="225"/>
      <c r="BQ21" s="276"/>
      <c r="BR21" s="277"/>
      <c r="BS21" s="225"/>
      <c r="BT21" s="278"/>
      <c r="BX21" s="225"/>
      <c r="BY21" s="225"/>
      <c r="BZ21" s="178"/>
      <c r="CA21" s="178"/>
      <c r="CB21" s="178"/>
      <c r="CC21" s="178"/>
    </row>
    <row r="22" spans="1:81" x14ac:dyDescent="0.2">
      <c r="A22" s="299" t="s">
        <v>38</v>
      </c>
      <c r="B22" s="300">
        <v>15</v>
      </c>
      <c r="C22" s="281" t="s">
        <v>32</v>
      </c>
      <c r="D22" s="301">
        <f>B22/1000000000</f>
        <v>1.4999999999999999E-8</v>
      </c>
      <c r="E22" s="194" t="s">
        <v>256</v>
      </c>
      <c r="F22" s="272"/>
      <c r="G22" s="272"/>
      <c r="H22" s="176">
        <v>16</v>
      </c>
      <c r="I22" s="468">
        <f t="shared" si="0"/>
        <v>0.16</v>
      </c>
      <c r="J22" s="223"/>
      <c r="K22" s="223"/>
      <c r="L22" s="223"/>
      <c r="M22" s="223"/>
      <c r="N22" s="273"/>
      <c r="O22" s="178"/>
      <c r="P22" s="223"/>
      <c r="Q22" s="454"/>
      <c r="S22" s="274"/>
      <c r="T22" s="274"/>
      <c r="U22" s="274"/>
      <c r="AJ22" s="454"/>
      <c r="AZ22" s="275"/>
      <c r="BJ22" s="225"/>
      <c r="BK22" s="225"/>
      <c r="BL22" s="225"/>
      <c r="BO22" s="178"/>
      <c r="BP22" s="225"/>
      <c r="BQ22" s="276"/>
      <c r="BR22" s="277"/>
      <c r="BS22" s="225"/>
      <c r="BT22" s="278"/>
      <c r="BX22" s="225"/>
      <c r="BY22" s="225"/>
      <c r="BZ22" s="178"/>
      <c r="CA22" s="178"/>
      <c r="CB22" s="178"/>
      <c r="CC22" s="178"/>
    </row>
    <row r="23" spans="1:81" x14ac:dyDescent="0.2">
      <c r="A23" s="299" t="s">
        <v>39</v>
      </c>
      <c r="B23" s="300">
        <v>15</v>
      </c>
      <c r="C23" s="281" t="s">
        <v>32</v>
      </c>
      <c r="D23" s="301">
        <f>B23/1000000000</f>
        <v>1.4999999999999999E-8</v>
      </c>
      <c r="E23" s="194" t="s">
        <v>257</v>
      </c>
      <c r="F23" s="272"/>
      <c r="G23" s="272"/>
      <c r="H23" s="176">
        <v>17</v>
      </c>
      <c r="I23" s="468">
        <f t="shared" si="0"/>
        <v>0.17</v>
      </c>
      <c r="J23" s="223"/>
      <c r="K23" s="223"/>
      <c r="L23" s="223"/>
      <c r="M23" s="223"/>
      <c r="N23" s="273"/>
      <c r="O23" s="178"/>
      <c r="P23" s="223"/>
      <c r="Q23" s="454"/>
      <c r="S23" s="274"/>
      <c r="T23" s="274"/>
      <c r="U23" s="274"/>
      <c r="AJ23" s="454"/>
      <c r="AZ23" s="275"/>
      <c r="BJ23" s="225"/>
      <c r="BK23" s="225"/>
      <c r="BL23" s="225"/>
      <c r="BO23" s="178"/>
      <c r="BP23" s="225"/>
      <c r="BQ23" s="276"/>
      <c r="BR23" s="277"/>
      <c r="BS23" s="225"/>
      <c r="BT23" s="278"/>
      <c r="BX23" s="225"/>
      <c r="BY23" s="225"/>
      <c r="BZ23" s="178"/>
      <c r="CA23" s="178"/>
      <c r="CB23" s="178"/>
      <c r="CC23" s="178"/>
    </row>
    <row r="24" spans="1:81" x14ac:dyDescent="0.2">
      <c r="A24" s="246"/>
      <c r="B24" s="246"/>
      <c r="C24" s="246"/>
      <c r="D24" s="246"/>
      <c r="E24" s="246"/>
      <c r="F24" s="272"/>
      <c r="G24" s="272"/>
      <c r="H24" s="176">
        <v>18</v>
      </c>
      <c r="I24" s="468">
        <f t="shared" si="0"/>
        <v>0.18</v>
      </c>
      <c r="J24" s="223"/>
      <c r="K24" s="223"/>
      <c r="L24" s="223"/>
      <c r="M24" s="223"/>
      <c r="N24" s="273"/>
      <c r="O24" s="178"/>
      <c r="P24" s="223"/>
      <c r="Q24" s="454"/>
      <c r="S24" s="274"/>
      <c r="T24" s="274"/>
      <c r="U24" s="274"/>
      <c r="AJ24" s="454"/>
      <c r="AZ24" s="275"/>
      <c r="BJ24" s="225"/>
      <c r="BK24" s="225"/>
      <c r="BL24" s="225"/>
      <c r="BO24" s="178"/>
      <c r="BP24" s="225"/>
      <c r="BQ24" s="276"/>
      <c r="BR24" s="277"/>
      <c r="BS24" s="225"/>
      <c r="BT24" s="278"/>
      <c r="BX24" s="225"/>
      <c r="BY24" s="225"/>
      <c r="BZ24" s="178"/>
      <c r="CA24" s="178"/>
      <c r="CB24" s="178"/>
      <c r="CC24" s="178"/>
    </row>
    <row r="25" spans="1:81" x14ac:dyDescent="0.2">
      <c r="A25" s="288" t="s">
        <v>29</v>
      </c>
      <c r="B25" s="269" t="s">
        <v>43</v>
      </c>
      <c r="C25" s="289" t="s">
        <v>33</v>
      </c>
      <c r="D25" s="290" t="s">
        <v>90</v>
      </c>
      <c r="E25" s="271" t="s">
        <v>41</v>
      </c>
      <c r="F25" s="272"/>
      <c r="G25" s="272"/>
      <c r="H25" s="176">
        <v>19</v>
      </c>
      <c r="I25" s="468">
        <f t="shared" si="0"/>
        <v>0.19</v>
      </c>
      <c r="J25" s="223"/>
      <c r="K25" s="223"/>
      <c r="L25" s="223"/>
      <c r="M25" s="223"/>
      <c r="N25" s="273"/>
      <c r="O25" s="178"/>
      <c r="P25" s="223"/>
      <c r="Q25" s="454"/>
      <c r="S25" s="274"/>
      <c r="T25" s="274"/>
      <c r="U25" s="274"/>
      <c r="AJ25" s="454"/>
      <c r="AZ25" s="275"/>
      <c r="BJ25" s="225"/>
      <c r="BK25" s="225"/>
      <c r="BL25" s="225"/>
      <c r="BO25" s="178"/>
      <c r="BP25" s="225"/>
      <c r="BQ25" s="276"/>
      <c r="BR25" s="277"/>
      <c r="BS25" s="225"/>
      <c r="BT25" s="278"/>
      <c r="BX25" s="225"/>
      <c r="BY25" s="225"/>
      <c r="BZ25" s="178"/>
      <c r="CA25" s="178"/>
      <c r="CB25" s="178"/>
      <c r="CC25" s="178"/>
    </row>
    <row r="26" spans="1:81" ht="13.5" thickBot="1" x14ac:dyDescent="0.25">
      <c r="A26" s="302" t="s">
        <v>27</v>
      </c>
      <c r="B26" s="283">
        <f>'Design Converter'!L7</f>
        <v>30</v>
      </c>
      <c r="C26" s="293" t="s">
        <v>96</v>
      </c>
      <c r="D26" s="200">
        <f>B26/1000000</f>
        <v>3.0000000000000001E-5</v>
      </c>
      <c r="E26" s="283" t="s">
        <v>258</v>
      </c>
      <c r="F26" s="303"/>
      <c r="G26" s="272"/>
      <c r="H26" s="176">
        <v>20</v>
      </c>
      <c r="I26" s="468">
        <f t="shared" si="0"/>
        <v>0.2</v>
      </c>
      <c r="J26" s="223"/>
      <c r="K26" s="223"/>
      <c r="L26" s="223"/>
      <c r="M26" s="223"/>
      <c r="N26" s="273"/>
      <c r="O26" s="178"/>
      <c r="P26" s="223"/>
      <c r="Q26" s="454"/>
      <c r="S26" s="274"/>
      <c r="T26" s="274"/>
      <c r="U26" s="274"/>
      <c r="AJ26" s="454"/>
      <c r="AZ26" s="275"/>
      <c r="BJ26" s="225"/>
      <c r="BK26" s="225"/>
      <c r="BL26" s="225"/>
      <c r="BO26" s="178"/>
      <c r="BP26" s="225"/>
      <c r="BQ26" s="276"/>
      <c r="BR26" s="277"/>
      <c r="BS26" s="225"/>
      <c r="BT26" s="278"/>
      <c r="BX26" s="225"/>
      <c r="BY26" s="225"/>
      <c r="BZ26" s="178"/>
      <c r="CA26" s="178"/>
      <c r="CB26" s="178"/>
      <c r="CC26" s="178"/>
    </row>
    <row r="27" spans="1:81" ht="13.5" thickBot="1" x14ac:dyDescent="0.25">
      <c r="A27" s="304" t="s">
        <v>398</v>
      </c>
      <c r="B27" s="305">
        <f>'Design Converter'!L8</f>
        <v>200</v>
      </c>
      <c r="C27" s="306" t="s">
        <v>259</v>
      </c>
      <c r="D27" s="200">
        <f>B27/1000</f>
        <v>0.2</v>
      </c>
      <c r="E27" s="283" t="s">
        <v>493</v>
      </c>
      <c r="F27" s="272"/>
      <c r="G27" s="272"/>
      <c r="H27" s="176">
        <v>21</v>
      </c>
      <c r="I27" s="468">
        <f t="shared" si="0"/>
        <v>0.21</v>
      </c>
      <c r="J27" s="223"/>
      <c r="K27" s="223"/>
      <c r="L27" s="223"/>
      <c r="M27" s="223"/>
      <c r="N27" s="273"/>
      <c r="O27" s="178"/>
      <c r="P27" s="223"/>
      <c r="Q27" s="454"/>
      <c r="S27" s="274"/>
      <c r="T27" s="274"/>
      <c r="U27" s="274"/>
      <c r="AJ27" s="454"/>
      <c r="AZ27" s="275"/>
      <c r="BJ27" s="225"/>
      <c r="BK27" s="225"/>
      <c r="BL27" s="225"/>
      <c r="BO27" s="178"/>
      <c r="BP27" s="225"/>
      <c r="BQ27" s="276"/>
      <c r="BR27" s="277"/>
      <c r="BS27" s="225"/>
      <c r="BT27" s="278"/>
      <c r="BX27" s="225"/>
      <c r="BY27" s="225"/>
      <c r="BZ27" s="178"/>
      <c r="CA27" s="178"/>
      <c r="CB27" s="178"/>
      <c r="CC27" s="178"/>
    </row>
    <row r="28" spans="1:81" ht="13.5" thickBot="1" x14ac:dyDescent="0.25">
      <c r="A28" s="304" t="s">
        <v>461</v>
      </c>
      <c r="B28" s="305">
        <f>'Design Converter'!L9</f>
        <v>40</v>
      </c>
      <c r="C28" s="306" t="s">
        <v>259</v>
      </c>
      <c r="D28" s="200">
        <f>B28/1000</f>
        <v>0.04</v>
      </c>
      <c r="E28" s="283" t="s">
        <v>675</v>
      </c>
      <c r="F28" s="272"/>
      <c r="G28" s="272"/>
      <c r="H28" s="176">
        <v>22</v>
      </c>
      <c r="I28" s="468">
        <f t="shared" si="0"/>
        <v>0.22</v>
      </c>
      <c r="J28" s="223"/>
      <c r="K28" s="223"/>
      <c r="L28" s="223"/>
      <c r="M28" s="223"/>
      <c r="N28" s="273"/>
      <c r="O28" s="178"/>
      <c r="P28" s="223"/>
      <c r="Q28" s="454"/>
      <c r="S28" s="274"/>
      <c r="T28" s="274"/>
      <c r="U28" s="274"/>
      <c r="AJ28" s="454"/>
      <c r="AZ28" s="275"/>
      <c r="BJ28" s="225"/>
      <c r="BK28" s="225"/>
      <c r="BL28" s="225"/>
      <c r="BO28" s="178"/>
      <c r="BP28" s="225"/>
      <c r="BQ28" s="276"/>
      <c r="BR28" s="277"/>
      <c r="BS28" s="225"/>
      <c r="BT28" s="278"/>
      <c r="BX28" s="225"/>
      <c r="BY28" s="225"/>
      <c r="BZ28" s="178"/>
      <c r="CA28" s="178"/>
      <c r="CB28" s="178"/>
      <c r="CC28" s="178"/>
    </row>
    <row r="29" spans="1:81" ht="13.5" thickBot="1" x14ac:dyDescent="0.25">
      <c r="A29" s="307" t="s">
        <v>260</v>
      </c>
      <c r="B29" s="308">
        <v>4.9999999999999998E-8</v>
      </c>
      <c r="C29" s="306"/>
      <c r="D29" s="309">
        <f>B29</f>
        <v>4.9999999999999998E-8</v>
      </c>
      <c r="E29" s="310" t="s">
        <v>492</v>
      </c>
      <c r="F29" s="272"/>
      <c r="G29" s="272"/>
      <c r="H29" s="176">
        <v>23</v>
      </c>
      <c r="I29" s="468">
        <f t="shared" si="0"/>
        <v>0.23</v>
      </c>
      <c r="J29" s="223"/>
      <c r="K29" s="223"/>
      <c r="L29" s="223"/>
      <c r="M29" s="223"/>
      <c r="N29" s="273"/>
      <c r="O29" s="178"/>
      <c r="P29" s="223"/>
      <c r="Q29" s="454"/>
      <c r="S29" s="274"/>
      <c r="T29" s="274"/>
      <c r="U29" s="274"/>
      <c r="AJ29" s="454"/>
      <c r="AZ29" s="275"/>
      <c r="BJ29" s="225"/>
      <c r="BK29" s="225"/>
      <c r="BL29" s="225"/>
      <c r="BO29" s="178"/>
      <c r="BP29" s="225"/>
      <c r="BQ29" s="276"/>
      <c r="BR29" s="277"/>
      <c r="BS29" s="225"/>
      <c r="BT29" s="278"/>
      <c r="BX29" s="225"/>
      <c r="BY29" s="225"/>
      <c r="BZ29" s="178"/>
      <c r="CA29" s="178"/>
      <c r="CB29" s="178"/>
      <c r="CC29" s="178"/>
    </row>
    <row r="30" spans="1:81" ht="13.5" thickBot="1" x14ac:dyDescent="0.25">
      <c r="A30" s="311" t="s">
        <v>28</v>
      </c>
      <c r="B30" s="305">
        <f>'Design Converter'!E17</f>
        <v>4.7</v>
      </c>
      <c r="C30" s="312" t="s">
        <v>97</v>
      </c>
      <c r="D30" s="313">
        <f>B30/1000000</f>
        <v>4.6999999999999999E-6</v>
      </c>
      <c r="E30" s="314" t="s">
        <v>60</v>
      </c>
      <c r="F30" s="272"/>
      <c r="G30" s="272"/>
      <c r="H30" s="176">
        <v>24</v>
      </c>
      <c r="I30" s="468">
        <f t="shared" si="0"/>
        <v>0.24</v>
      </c>
      <c r="J30" s="223"/>
      <c r="K30" s="223"/>
      <c r="L30" s="223"/>
      <c r="M30" s="223"/>
      <c r="N30" s="273"/>
      <c r="O30" s="178"/>
      <c r="P30" s="223"/>
      <c r="Q30" s="454"/>
      <c r="S30" s="274"/>
      <c r="T30" s="274"/>
      <c r="U30" s="274"/>
      <c r="AJ30" s="454"/>
      <c r="AZ30" s="275"/>
      <c r="BJ30" s="225"/>
      <c r="BK30" s="225"/>
      <c r="BL30" s="225"/>
      <c r="BO30" s="178"/>
      <c r="BP30" s="225"/>
      <c r="BQ30" s="276"/>
      <c r="BR30" s="277"/>
      <c r="BS30" s="225"/>
      <c r="BT30" s="278"/>
      <c r="BX30" s="225"/>
      <c r="BY30" s="225"/>
      <c r="BZ30" s="178"/>
      <c r="CA30" s="178"/>
      <c r="CB30" s="178"/>
      <c r="CC30" s="178"/>
    </row>
    <row r="31" spans="1:81" ht="13.5" thickBot="1" x14ac:dyDescent="0.25">
      <c r="A31" s="307" t="s">
        <v>261</v>
      </c>
      <c r="B31" s="305">
        <f>'Design Converter'!E18</f>
        <v>3</v>
      </c>
      <c r="C31" s="306" t="s">
        <v>259</v>
      </c>
      <c r="D31" s="200">
        <f>B31/1000</f>
        <v>3.0000000000000001E-3</v>
      </c>
      <c r="E31" s="283" t="s">
        <v>262</v>
      </c>
      <c r="F31" s="272"/>
      <c r="G31" s="272"/>
      <c r="H31" s="176">
        <v>25</v>
      </c>
      <c r="I31" s="468">
        <f t="shared" si="0"/>
        <v>0.25</v>
      </c>
      <c r="J31" s="223"/>
      <c r="K31" s="223"/>
      <c r="L31" s="223"/>
      <c r="M31" s="223"/>
      <c r="N31" s="273"/>
      <c r="O31" s="178"/>
      <c r="P31" s="223"/>
      <c r="Q31" s="454"/>
      <c r="S31" s="274"/>
      <c r="T31" s="274"/>
      <c r="U31" s="274"/>
      <c r="AJ31" s="454"/>
      <c r="AZ31" s="275"/>
      <c r="BJ31" s="225"/>
      <c r="BK31" s="225"/>
      <c r="BL31" s="225"/>
      <c r="BO31" s="178"/>
      <c r="BP31" s="225"/>
      <c r="BQ31" s="276"/>
      <c r="BR31" s="277"/>
      <c r="BS31" s="225"/>
      <c r="BT31" s="278"/>
      <c r="BX31" s="225"/>
      <c r="BY31" s="225"/>
      <c r="BZ31" s="178"/>
      <c r="CA31" s="178"/>
      <c r="CB31" s="178"/>
      <c r="CC31" s="178"/>
    </row>
    <row r="32" spans="1:81" ht="13.5" thickBot="1" x14ac:dyDescent="0.25">
      <c r="A32" s="302" t="s">
        <v>14</v>
      </c>
      <c r="B32" s="364">
        <f>'Design Converter'!E21</f>
        <v>100</v>
      </c>
      <c r="C32" s="293" t="s">
        <v>97</v>
      </c>
      <c r="D32" s="294">
        <f>B32/1000000</f>
        <v>1E-4</v>
      </c>
      <c r="E32" s="283" t="s">
        <v>263</v>
      </c>
      <c r="F32" s="272"/>
      <c r="G32" s="272"/>
      <c r="H32" s="176">
        <v>26</v>
      </c>
      <c r="I32" s="468">
        <f t="shared" si="0"/>
        <v>0.26</v>
      </c>
      <c r="J32" s="223"/>
      <c r="K32" s="223"/>
      <c r="L32" s="223"/>
      <c r="M32" s="223"/>
      <c r="N32" s="273"/>
      <c r="O32" s="178"/>
      <c r="P32" s="223"/>
      <c r="Q32" s="454"/>
      <c r="S32" s="274"/>
      <c r="T32" s="274"/>
      <c r="U32" s="274"/>
      <c r="AJ32" s="454"/>
      <c r="AZ32" s="275"/>
      <c r="BJ32" s="225"/>
      <c r="BK32" s="225"/>
      <c r="BL32" s="225"/>
      <c r="BO32" s="178"/>
      <c r="BP32" s="225"/>
      <c r="BQ32" s="276"/>
      <c r="BR32" s="277"/>
      <c r="BS32" s="225"/>
      <c r="BT32" s="278"/>
      <c r="BX32" s="225"/>
      <c r="BY32" s="225"/>
      <c r="BZ32" s="178"/>
      <c r="CA32" s="178"/>
      <c r="CB32" s="178"/>
      <c r="CC32" s="178"/>
    </row>
    <row r="33" spans="1:81" x14ac:dyDescent="0.2">
      <c r="A33" s="307" t="s">
        <v>264</v>
      </c>
      <c r="B33" s="364">
        <f>'Design Converter'!E22</f>
        <v>3</v>
      </c>
      <c r="C33" s="306" t="s">
        <v>259</v>
      </c>
      <c r="D33" s="200">
        <f>B33/1000</f>
        <v>3.0000000000000001E-3</v>
      </c>
      <c r="E33" s="283" t="s">
        <v>265</v>
      </c>
      <c r="F33" s="272"/>
      <c r="G33" s="272"/>
      <c r="H33" s="176">
        <v>27</v>
      </c>
      <c r="I33" s="468">
        <f t="shared" si="0"/>
        <v>0.27</v>
      </c>
      <c r="J33" s="223"/>
      <c r="K33" s="223"/>
      <c r="L33" s="223"/>
      <c r="M33" s="223"/>
      <c r="N33" s="273"/>
      <c r="O33" s="178"/>
      <c r="P33" s="223"/>
      <c r="Q33" s="454"/>
      <c r="S33" s="274"/>
      <c r="T33" s="274"/>
      <c r="U33" s="274"/>
      <c r="AJ33" s="454"/>
      <c r="AZ33" s="275"/>
      <c r="BJ33" s="225"/>
      <c r="BK33" s="225"/>
      <c r="BL33" s="225"/>
      <c r="BO33" s="178"/>
      <c r="BP33" s="225"/>
      <c r="BQ33" s="276"/>
      <c r="BR33" s="277"/>
      <c r="BS33" s="225"/>
      <c r="BT33" s="278"/>
      <c r="BX33" s="225"/>
      <c r="BY33" s="225"/>
      <c r="BZ33" s="178"/>
      <c r="CA33" s="178"/>
      <c r="CB33" s="178"/>
      <c r="CC33" s="178"/>
    </row>
    <row r="34" spans="1:81" x14ac:dyDescent="0.2">
      <c r="A34" s="315" t="s">
        <v>407</v>
      </c>
      <c r="B34" s="269"/>
      <c r="C34" s="315" t="s">
        <v>33</v>
      </c>
      <c r="D34" s="316" t="s">
        <v>90</v>
      </c>
      <c r="E34" s="317" t="s">
        <v>41</v>
      </c>
      <c r="F34" s="272"/>
      <c r="G34" s="272"/>
      <c r="H34" s="176">
        <v>28</v>
      </c>
      <c r="I34" s="468">
        <f t="shared" si="0"/>
        <v>0.28000000000000003</v>
      </c>
      <c r="J34" s="223"/>
      <c r="K34" s="223"/>
      <c r="L34" s="223"/>
      <c r="M34" s="223"/>
      <c r="N34" s="273"/>
      <c r="O34" s="178"/>
      <c r="P34" s="223"/>
      <c r="Q34" s="454"/>
      <c r="S34" s="274"/>
      <c r="T34" s="274"/>
      <c r="U34" s="274"/>
      <c r="AJ34" s="454"/>
      <c r="AZ34" s="275"/>
      <c r="BJ34" s="225"/>
      <c r="BK34" s="225"/>
      <c r="BL34" s="225"/>
      <c r="BO34" s="178"/>
      <c r="BP34" s="225"/>
      <c r="BQ34" s="276"/>
      <c r="BR34" s="277"/>
      <c r="BS34" s="225"/>
      <c r="BT34" s="278"/>
      <c r="BX34" s="225"/>
      <c r="BY34" s="225"/>
      <c r="BZ34" s="178"/>
      <c r="CA34" s="178"/>
      <c r="CB34" s="178"/>
      <c r="CC34" s="178"/>
    </row>
    <row r="35" spans="1:81" x14ac:dyDescent="0.2">
      <c r="A35" s="304" t="s">
        <v>412</v>
      </c>
      <c r="B35" s="318">
        <v>1.5</v>
      </c>
      <c r="C35" s="293" t="s">
        <v>1</v>
      </c>
      <c r="D35" s="275">
        <f>B35</f>
        <v>1.5</v>
      </c>
      <c r="E35" s="194" t="s">
        <v>411</v>
      </c>
      <c r="F35" s="272"/>
      <c r="G35" s="272"/>
      <c r="H35" s="176">
        <v>29</v>
      </c>
      <c r="I35" s="468">
        <f t="shared" si="0"/>
        <v>0.28999999999999998</v>
      </c>
      <c r="J35" s="223"/>
      <c r="K35" s="223"/>
      <c r="L35" s="223"/>
      <c r="M35" s="223"/>
      <c r="N35" s="273"/>
      <c r="O35" s="178"/>
      <c r="P35" s="223"/>
      <c r="Q35" s="454"/>
      <c r="S35" s="274"/>
      <c r="T35" s="274"/>
      <c r="U35" s="274"/>
      <c r="AJ35" s="454"/>
      <c r="AZ35" s="275"/>
      <c r="BJ35" s="225"/>
      <c r="BK35" s="225"/>
      <c r="BL35" s="225"/>
      <c r="BO35" s="178"/>
      <c r="BP35" s="225"/>
      <c r="BQ35" s="276"/>
      <c r="BR35" s="277"/>
      <c r="BS35" s="225"/>
      <c r="BT35" s="278"/>
      <c r="BX35" s="225"/>
      <c r="BY35" s="225"/>
      <c r="BZ35" s="178"/>
      <c r="CA35" s="178"/>
      <c r="CB35" s="178"/>
      <c r="CC35" s="178"/>
    </row>
    <row r="36" spans="1:81" ht="13.5" thickBot="1" x14ac:dyDescent="0.25">
      <c r="A36" s="304" t="s">
        <v>420</v>
      </c>
      <c r="B36" s="318">
        <f>B35/5</f>
        <v>0.3</v>
      </c>
      <c r="C36" s="293" t="s">
        <v>1</v>
      </c>
      <c r="D36" s="275">
        <f>B36</f>
        <v>0.3</v>
      </c>
      <c r="E36" s="194" t="s">
        <v>421</v>
      </c>
      <c r="F36" s="272"/>
      <c r="G36" s="272"/>
      <c r="H36" s="176">
        <v>30</v>
      </c>
      <c r="I36" s="468">
        <f t="shared" si="0"/>
        <v>0.3</v>
      </c>
      <c r="J36" s="223"/>
      <c r="K36" s="223"/>
      <c r="L36" s="223"/>
      <c r="M36" s="223"/>
      <c r="N36" s="273"/>
      <c r="O36" s="178"/>
      <c r="P36" s="223"/>
      <c r="Q36" s="454"/>
      <c r="S36" s="274"/>
      <c r="T36" s="274"/>
      <c r="U36" s="274"/>
      <c r="AJ36" s="454"/>
      <c r="AZ36" s="275"/>
      <c r="BJ36" s="225"/>
      <c r="BK36" s="225"/>
      <c r="BL36" s="225"/>
      <c r="BO36" s="178"/>
      <c r="BP36" s="225"/>
      <c r="BQ36" s="276"/>
      <c r="BR36" s="277"/>
      <c r="BS36" s="225"/>
      <c r="BT36" s="278"/>
      <c r="BX36" s="225"/>
      <c r="BY36" s="225"/>
      <c r="BZ36" s="178"/>
      <c r="CA36" s="178"/>
      <c r="CB36" s="178"/>
      <c r="CC36" s="178"/>
    </row>
    <row r="37" spans="1:81" ht="13.5" thickBot="1" x14ac:dyDescent="0.25">
      <c r="A37" s="319" t="s">
        <v>47</v>
      </c>
      <c r="B37" s="544">
        <v>1</v>
      </c>
      <c r="C37" s="293"/>
      <c r="D37" s="275">
        <f>B37</f>
        <v>1</v>
      </c>
      <c r="E37" s="194" t="s">
        <v>422</v>
      </c>
      <c r="F37" s="272"/>
      <c r="G37" s="272"/>
      <c r="H37" s="176">
        <v>31</v>
      </c>
      <c r="I37" s="468">
        <f t="shared" si="0"/>
        <v>0.31</v>
      </c>
      <c r="J37" s="223"/>
      <c r="K37" s="223"/>
      <c r="L37" s="223"/>
      <c r="M37" s="223"/>
      <c r="N37" s="273"/>
      <c r="O37" s="178"/>
      <c r="P37" s="223"/>
      <c r="Q37" s="454"/>
      <c r="S37" s="274"/>
      <c r="T37" s="274"/>
      <c r="U37" s="274"/>
      <c r="AJ37" s="454"/>
      <c r="AZ37" s="275"/>
      <c r="BJ37" s="225"/>
      <c r="BK37" s="225"/>
      <c r="BL37" s="225"/>
      <c r="BO37" s="178"/>
      <c r="BP37" s="225"/>
      <c r="BQ37" s="276"/>
      <c r="BR37" s="277"/>
      <c r="BS37" s="225"/>
      <c r="BT37" s="278"/>
      <c r="BX37" s="225"/>
      <c r="BY37" s="225"/>
      <c r="BZ37" s="178"/>
      <c r="CA37" s="178"/>
      <c r="CB37" s="178"/>
      <c r="CC37" s="178"/>
    </row>
    <row r="38" spans="1:81" x14ac:dyDescent="0.2">
      <c r="A38" s="304" t="s">
        <v>24</v>
      </c>
      <c r="B38" s="320">
        <v>290</v>
      </c>
      <c r="C38" s="293" t="s">
        <v>266</v>
      </c>
      <c r="D38" s="295">
        <f>B38/1000000</f>
        <v>2.9E-4</v>
      </c>
      <c r="E38" s="283" t="s">
        <v>494</v>
      </c>
      <c r="H38" s="176">
        <v>32</v>
      </c>
      <c r="I38" s="468">
        <f t="shared" ref="I38:I69" si="24">IF(PLOT_TYPE=1, H38/100*Iout_max, min_I*EXP(H38*rr/100))</f>
        <v>0.32</v>
      </c>
      <c r="J38" s="223"/>
      <c r="K38" s="223"/>
      <c r="L38" s="223"/>
      <c r="M38" s="223"/>
      <c r="N38" s="273"/>
      <c r="O38" s="178"/>
      <c r="P38" s="223"/>
      <c r="Q38" s="454"/>
      <c r="S38" s="274"/>
      <c r="T38" s="274"/>
      <c r="U38" s="274"/>
      <c r="AJ38" s="454"/>
      <c r="AZ38" s="275"/>
      <c r="BJ38" s="225"/>
      <c r="BK38" s="225"/>
      <c r="BL38" s="225"/>
      <c r="BO38" s="178"/>
      <c r="BP38" s="225"/>
      <c r="BQ38" s="276"/>
      <c r="BR38" s="277"/>
      <c r="BS38" s="225"/>
      <c r="BT38" s="278"/>
      <c r="BX38" s="225"/>
      <c r="BY38" s="225"/>
      <c r="BZ38" s="178"/>
      <c r="CA38" s="178"/>
      <c r="CB38" s="178"/>
      <c r="CC38" s="178"/>
    </row>
    <row r="39" spans="1:81" ht="13.5" thickBot="1" x14ac:dyDescent="0.25">
      <c r="A39" s="315" t="s">
        <v>404</v>
      </c>
      <c r="B39" s="321"/>
      <c r="C39" s="315" t="s">
        <v>33</v>
      </c>
      <c r="D39" s="316" t="s">
        <v>90</v>
      </c>
      <c r="E39" s="322" t="s">
        <v>41</v>
      </c>
      <c r="H39" s="176">
        <v>33</v>
      </c>
      <c r="I39" s="468">
        <f t="shared" si="24"/>
        <v>0.33</v>
      </c>
      <c r="J39" s="223"/>
      <c r="K39" s="223"/>
      <c r="L39" s="223"/>
      <c r="M39" s="223"/>
      <c r="N39" s="273"/>
      <c r="O39" s="178"/>
      <c r="P39" s="223"/>
      <c r="Q39" s="454"/>
      <c r="S39" s="274"/>
      <c r="T39" s="274"/>
      <c r="U39" s="274"/>
      <c r="AJ39" s="454"/>
      <c r="AZ39" s="275"/>
      <c r="BJ39" s="225"/>
      <c r="BK39" s="225"/>
      <c r="BL39" s="225"/>
      <c r="BO39" s="178"/>
      <c r="BP39" s="225"/>
      <c r="BQ39" s="276"/>
      <c r="BR39" s="277"/>
      <c r="BS39" s="225"/>
      <c r="BT39" s="278"/>
      <c r="BX39" s="225"/>
      <c r="BY39" s="225"/>
      <c r="BZ39" s="178"/>
      <c r="CA39" s="178"/>
      <c r="CB39" s="178"/>
      <c r="CC39" s="178"/>
    </row>
    <row r="40" spans="1:81" x14ac:dyDescent="0.2">
      <c r="A40" s="323" t="s">
        <v>405</v>
      </c>
      <c r="B40" s="324">
        <v>350</v>
      </c>
      <c r="C40" s="284" t="s">
        <v>259</v>
      </c>
      <c r="D40" s="177">
        <f>B40/1000</f>
        <v>0.35</v>
      </c>
      <c r="E40" s="283" t="s">
        <v>409</v>
      </c>
      <c r="H40" s="176">
        <v>34</v>
      </c>
      <c r="I40" s="468">
        <f t="shared" si="24"/>
        <v>0.34</v>
      </c>
      <c r="J40" s="223"/>
      <c r="K40" s="223"/>
      <c r="L40" s="223"/>
      <c r="M40" s="223"/>
      <c r="N40" s="273"/>
      <c r="O40" s="178"/>
      <c r="P40" s="223"/>
      <c r="Q40" s="454"/>
      <c r="S40" s="274"/>
      <c r="T40" s="274"/>
      <c r="U40" s="274"/>
      <c r="AJ40" s="454"/>
      <c r="AZ40" s="275"/>
      <c r="BJ40" s="225"/>
      <c r="BK40" s="225"/>
      <c r="BL40" s="225"/>
      <c r="BO40" s="178"/>
      <c r="BP40" s="225"/>
      <c r="BQ40" s="276"/>
      <c r="BR40" s="277"/>
      <c r="BS40" s="225"/>
      <c r="BT40" s="278"/>
      <c r="BX40" s="225"/>
      <c r="BY40" s="225"/>
      <c r="BZ40" s="178"/>
      <c r="CA40" s="178"/>
      <c r="CB40" s="178"/>
      <c r="CC40" s="178"/>
    </row>
    <row r="41" spans="1:81" ht="13.5" thickBot="1" x14ac:dyDescent="0.25">
      <c r="A41" s="176" t="s">
        <v>702</v>
      </c>
      <c r="B41" s="176">
        <v>4500</v>
      </c>
      <c r="C41" s="661" t="s">
        <v>703</v>
      </c>
      <c r="D41" s="177">
        <f>B41/1000000</f>
        <v>4.4999999999999997E-3</v>
      </c>
      <c r="E41" s="662" t="s">
        <v>704</v>
      </c>
      <c r="H41" s="176">
        <v>35</v>
      </c>
      <c r="I41" s="468">
        <f t="shared" si="24"/>
        <v>0.35</v>
      </c>
      <c r="J41" s="223"/>
      <c r="K41" s="223"/>
      <c r="L41" s="223"/>
      <c r="M41" s="223"/>
      <c r="N41" s="273"/>
      <c r="O41" s="178"/>
      <c r="P41" s="223"/>
      <c r="Q41" s="454"/>
      <c r="S41" s="274"/>
      <c r="T41" s="274"/>
      <c r="U41" s="274"/>
      <c r="AJ41" s="454"/>
      <c r="AZ41" s="275"/>
      <c r="BJ41" s="225"/>
      <c r="BK41" s="225"/>
      <c r="BL41" s="225"/>
      <c r="BO41" s="178"/>
      <c r="BP41" s="225"/>
      <c r="BQ41" s="276"/>
      <c r="BR41" s="277"/>
      <c r="BS41" s="225"/>
      <c r="BT41" s="278"/>
      <c r="BX41" s="225"/>
      <c r="BY41" s="225"/>
      <c r="BZ41" s="178"/>
      <c r="CA41" s="178"/>
      <c r="CB41" s="178"/>
      <c r="CC41" s="178"/>
    </row>
    <row r="42" spans="1:81" ht="13.5" thickBot="1" x14ac:dyDescent="0.25">
      <c r="A42" s="304" t="s">
        <v>267</v>
      </c>
      <c r="B42" s="325"/>
      <c r="C42" s="326" t="s">
        <v>268</v>
      </c>
      <c r="D42" s="177"/>
      <c r="E42" s="283" t="s">
        <v>267</v>
      </c>
      <c r="H42" s="176">
        <v>36</v>
      </c>
      <c r="I42" s="468">
        <f t="shared" si="24"/>
        <v>0.36</v>
      </c>
      <c r="J42" s="223"/>
      <c r="K42" s="223"/>
      <c r="L42" s="223"/>
      <c r="M42" s="223"/>
      <c r="N42" s="273"/>
      <c r="O42" s="178"/>
      <c r="P42" s="223"/>
      <c r="Q42" s="454"/>
      <c r="S42" s="274"/>
      <c r="T42" s="274"/>
      <c r="U42" s="274"/>
      <c r="AJ42" s="454"/>
      <c r="AZ42" s="275"/>
      <c r="BJ42" s="225"/>
      <c r="BK42" s="225"/>
      <c r="BL42" s="225"/>
      <c r="BO42" s="178"/>
      <c r="BP42" s="225"/>
      <c r="BQ42" s="276"/>
      <c r="BR42" s="277"/>
      <c r="BS42" s="225"/>
      <c r="BT42" s="278"/>
      <c r="BX42" s="225"/>
      <c r="BY42" s="225"/>
      <c r="BZ42" s="178"/>
      <c r="CA42" s="178"/>
      <c r="CB42" s="178"/>
      <c r="CC42" s="178"/>
    </row>
    <row r="43" spans="1:81" ht="13.5" thickBot="1" x14ac:dyDescent="0.25">
      <c r="A43" s="304" t="s">
        <v>406</v>
      </c>
      <c r="B43" s="324">
        <v>2.5</v>
      </c>
      <c r="C43" s="293" t="s">
        <v>31</v>
      </c>
      <c r="D43" s="177">
        <f>B43/1000000000</f>
        <v>2.5000000000000001E-9</v>
      </c>
      <c r="E43" s="283" t="s">
        <v>408</v>
      </c>
      <c r="H43" s="176">
        <v>37</v>
      </c>
      <c r="I43" s="468">
        <f t="shared" si="24"/>
        <v>0.37</v>
      </c>
      <c r="J43" s="223"/>
      <c r="K43" s="223"/>
      <c r="L43" s="223"/>
      <c r="M43" s="223"/>
      <c r="N43" s="273"/>
      <c r="O43" s="178"/>
      <c r="P43" s="223"/>
      <c r="Q43" s="454"/>
      <c r="S43" s="274"/>
      <c r="T43" s="274"/>
      <c r="U43" s="274"/>
      <c r="AJ43" s="454"/>
      <c r="AZ43" s="275"/>
      <c r="BJ43" s="225"/>
      <c r="BK43" s="225"/>
      <c r="BL43" s="225"/>
      <c r="BO43" s="178"/>
      <c r="BP43" s="225"/>
      <c r="BQ43" s="276"/>
      <c r="BR43" s="277"/>
      <c r="BS43" s="225"/>
      <c r="BT43" s="278"/>
      <c r="BX43" s="225"/>
      <c r="BY43" s="225"/>
      <c r="BZ43" s="178"/>
      <c r="CA43" s="178"/>
      <c r="CB43" s="178"/>
      <c r="CC43" s="178"/>
    </row>
    <row r="44" spans="1:81" ht="13.5" thickBot="1" x14ac:dyDescent="0.25">
      <c r="A44" s="307" t="s">
        <v>241</v>
      </c>
      <c r="B44" s="324">
        <v>50</v>
      </c>
      <c r="C44" s="293" t="s">
        <v>15</v>
      </c>
      <c r="D44" s="327">
        <f>B44/1000000000000</f>
        <v>5.0000000000000002E-11</v>
      </c>
      <c r="E44" s="283" t="s">
        <v>330</v>
      </c>
      <c r="H44" s="176">
        <v>38</v>
      </c>
      <c r="I44" s="468">
        <f t="shared" si="24"/>
        <v>0.38</v>
      </c>
      <c r="J44" s="223"/>
      <c r="K44" s="223"/>
      <c r="L44" s="223"/>
      <c r="M44" s="223"/>
      <c r="N44" s="273"/>
      <c r="O44" s="178"/>
      <c r="P44" s="223"/>
      <c r="Q44" s="454"/>
      <c r="S44" s="274"/>
      <c r="T44" s="274"/>
      <c r="U44" s="274"/>
      <c r="AJ44" s="454"/>
      <c r="AZ44" s="275"/>
      <c r="BJ44" s="225"/>
      <c r="BK44" s="225"/>
      <c r="BL44" s="225"/>
      <c r="BO44" s="178"/>
      <c r="BP44" s="225"/>
      <c r="BQ44" s="276"/>
      <c r="BR44" s="277"/>
      <c r="BS44" s="225"/>
      <c r="BT44" s="278"/>
      <c r="BX44" s="225"/>
      <c r="BY44" s="225"/>
      <c r="BZ44" s="178"/>
      <c r="CA44" s="178"/>
      <c r="CB44" s="178"/>
      <c r="CC44" s="178"/>
    </row>
    <row r="45" spans="1:81" x14ac:dyDescent="0.2">
      <c r="A45" s="330" t="s">
        <v>329</v>
      </c>
      <c r="B45" s="324">
        <v>50</v>
      </c>
      <c r="C45" s="293" t="s">
        <v>15</v>
      </c>
      <c r="D45" s="295">
        <f>B45/1000000000000</f>
        <v>5.0000000000000002E-11</v>
      </c>
      <c r="E45" s="283" t="s">
        <v>485</v>
      </c>
      <c r="H45" s="176">
        <v>39</v>
      </c>
      <c r="I45" s="468">
        <f t="shared" si="24"/>
        <v>0.39</v>
      </c>
      <c r="J45" s="223"/>
      <c r="K45" s="223"/>
      <c r="L45" s="223"/>
      <c r="M45" s="223"/>
      <c r="N45" s="273"/>
      <c r="O45" s="178"/>
      <c r="P45" s="223"/>
      <c r="Q45" s="454"/>
      <c r="S45" s="274"/>
      <c r="T45" s="274"/>
      <c r="U45" s="274"/>
      <c r="AJ45" s="454"/>
      <c r="AZ45" s="275"/>
      <c r="BJ45" s="225"/>
      <c r="BK45" s="225"/>
      <c r="BL45" s="225"/>
      <c r="BO45" s="178"/>
      <c r="BP45" s="225"/>
      <c r="BQ45" s="276"/>
      <c r="BR45" s="277"/>
      <c r="BS45" s="225"/>
      <c r="BT45" s="278"/>
      <c r="BX45" s="225"/>
      <c r="BY45" s="225"/>
      <c r="BZ45" s="178"/>
      <c r="CA45" s="178"/>
      <c r="CB45" s="178"/>
      <c r="CC45" s="178"/>
    </row>
    <row r="46" spans="1:81" ht="13.5" thickBot="1" x14ac:dyDescent="0.25">
      <c r="A46" s="315" t="s">
        <v>410</v>
      </c>
      <c r="B46" s="328"/>
      <c r="C46" s="315" t="s">
        <v>33</v>
      </c>
      <c r="D46" s="316" t="s">
        <v>90</v>
      </c>
      <c r="E46" s="329" t="s">
        <v>41</v>
      </c>
      <c r="H46" s="176">
        <v>40</v>
      </c>
      <c r="I46" s="468">
        <f t="shared" si="24"/>
        <v>0.4</v>
      </c>
      <c r="J46" s="223"/>
      <c r="K46" s="223"/>
      <c r="L46" s="223"/>
      <c r="M46" s="223"/>
      <c r="N46" s="273"/>
      <c r="O46" s="178"/>
      <c r="P46" s="223"/>
      <c r="Q46" s="454"/>
      <c r="S46" s="274"/>
      <c r="T46" s="274"/>
      <c r="U46" s="274"/>
      <c r="AJ46" s="454"/>
      <c r="AZ46" s="275"/>
      <c r="BJ46" s="225"/>
      <c r="BK46" s="225"/>
      <c r="BL46" s="225"/>
      <c r="BO46" s="178"/>
      <c r="BP46" s="225"/>
      <c r="BQ46" s="276"/>
      <c r="BR46" s="277"/>
      <c r="BS46" s="225"/>
      <c r="BT46" s="278"/>
      <c r="BX46" s="225"/>
      <c r="BY46" s="225"/>
      <c r="BZ46" s="178"/>
      <c r="CA46" s="178"/>
      <c r="CB46" s="178"/>
      <c r="CC46" s="178"/>
    </row>
    <row r="47" spans="1:81" ht="13.5" thickBot="1" x14ac:dyDescent="0.25">
      <c r="A47" s="323" t="s">
        <v>673</v>
      </c>
      <c r="B47" s="324">
        <f>'Design Converter'!E41</f>
        <v>0.3</v>
      </c>
      <c r="C47" s="281" t="s">
        <v>0</v>
      </c>
      <c r="D47" s="177">
        <f>B47</f>
        <v>0.3</v>
      </c>
      <c r="E47" s="283" t="s">
        <v>672</v>
      </c>
      <c r="H47" s="176">
        <v>41</v>
      </c>
      <c r="I47" s="468">
        <f t="shared" si="24"/>
        <v>0.41</v>
      </c>
      <c r="J47" s="223"/>
      <c r="K47" s="223"/>
      <c r="L47" s="223"/>
      <c r="M47" s="223"/>
      <c r="N47" s="273"/>
      <c r="O47" s="178"/>
      <c r="P47" s="223"/>
      <c r="Q47" s="454"/>
      <c r="S47" s="274"/>
      <c r="T47" s="274"/>
      <c r="U47" s="274"/>
      <c r="AJ47" s="454"/>
      <c r="AZ47" s="275"/>
      <c r="BJ47" s="225"/>
      <c r="BK47" s="225"/>
      <c r="BL47" s="225"/>
      <c r="BO47" s="178"/>
      <c r="BP47" s="225"/>
      <c r="BQ47" s="276"/>
      <c r="BR47" s="277"/>
      <c r="BS47" s="225"/>
      <c r="BT47" s="278"/>
      <c r="BX47" s="225"/>
      <c r="BY47" s="225"/>
      <c r="BZ47" s="178"/>
      <c r="CA47" s="178"/>
      <c r="CB47" s="178"/>
      <c r="CC47" s="178"/>
    </row>
    <row r="48" spans="1:81" ht="13.5" thickBot="1" x14ac:dyDescent="0.25">
      <c r="A48" s="323" t="s">
        <v>674</v>
      </c>
      <c r="B48" s="324">
        <f>'Design Converter'!E42</f>
        <v>0.4</v>
      </c>
      <c r="C48" s="281" t="s">
        <v>0</v>
      </c>
      <c r="D48" s="177">
        <f>B48</f>
        <v>0.4</v>
      </c>
      <c r="E48" s="283" t="s">
        <v>671</v>
      </c>
      <c r="H48" s="176">
        <v>42</v>
      </c>
      <c r="I48" s="468">
        <f t="shared" si="24"/>
        <v>0.42</v>
      </c>
      <c r="J48" s="223"/>
      <c r="K48" s="223"/>
      <c r="L48" s="223"/>
      <c r="M48" s="223"/>
      <c r="N48" s="273"/>
      <c r="O48" s="178"/>
      <c r="P48" s="223"/>
      <c r="Q48" s="454"/>
      <c r="S48" s="274"/>
      <c r="T48" s="274"/>
      <c r="U48" s="274"/>
      <c r="AJ48" s="454"/>
      <c r="AZ48" s="275"/>
      <c r="BJ48" s="225"/>
      <c r="BK48" s="225"/>
      <c r="BL48" s="225"/>
      <c r="BO48" s="178"/>
      <c r="BP48" s="225"/>
      <c r="BQ48" s="276"/>
      <c r="BR48" s="277"/>
      <c r="BS48" s="225"/>
      <c r="BT48" s="278"/>
      <c r="BX48" s="225"/>
      <c r="BY48" s="225"/>
      <c r="BZ48" s="178"/>
      <c r="CA48" s="178"/>
      <c r="CB48" s="178"/>
      <c r="CC48" s="178"/>
    </row>
    <row r="49" spans="1:81" ht="13.5" thickBot="1" x14ac:dyDescent="0.25">
      <c r="A49" s="323" t="s">
        <v>269</v>
      </c>
      <c r="B49" s="324">
        <v>100</v>
      </c>
      <c r="C49" s="284" t="s">
        <v>259</v>
      </c>
      <c r="D49" s="177">
        <f>B49*0.001</f>
        <v>0.1</v>
      </c>
      <c r="E49" s="283" t="s">
        <v>270</v>
      </c>
      <c r="H49" s="176">
        <v>43</v>
      </c>
      <c r="I49" s="468">
        <f t="shared" si="24"/>
        <v>0.43</v>
      </c>
      <c r="J49" s="223"/>
      <c r="K49" s="223"/>
      <c r="L49" s="223"/>
      <c r="M49" s="223"/>
      <c r="N49" s="273"/>
      <c r="O49" s="178"/>
      <c r="P49" s="223"/>
      <c r="Q49" s="454"/>
      <c r="S49" s="274"/>
      <c r="T49" s="274"/>
      <c r="U49" s="274"/>
      <c r="AJ49" s="454"/>
      <c r="AZ49" s="275"/>
      <c r="BJ49" s="225"/>
      <c r="BK49" s="225"/>
      <c r="BL49" s="225"/>
      <c r="BO49" s="178"/>
      <c r="BP49" s="225"/>
      <c r="BQ49" s="276"/>
      <c r="BR49" s="277"/>
      <c r="BS49" s="225"/>
      <c r="BT49" s="278"/>
      <c r="BX49" s="225"/>
      <c r="BY49" s="225"/>
      <c r="BZ49" s="178"/>
      <c r="CA49" s="178"/>
      <c r="CB49" s="178"/>
      <c r="CC49" s="178"/>
    </row>
    <row r="50" spans="1:81" ht="13.5" thickBot="1" x14ac:dyDescent="0.25">
      <c r="A50" s="304" t="s">
        <v>413</v>
      </c>
      <c r="B50" s="324">
        <v>2</v>
      </c>
      <c r="C50" s="293" t="s">
        <v>31</v>
      </c>
      <c r="D50" s="295">
        <f>B50*0.000000001</f>
        <v>2.0000000000000001E-9</v>
      </c>
      <c r="E50" s="283" t="s">
        <v>271</v>
      </c>
      <c r="H50" s="176">
        <v>44</v>
      </c>
      <c r="I50" s="468">
        <f t="shared" si="24"/>
        <v>0.44</v>
      </c>
      <c r="J50" s="223"/>
      <c r="K50" s="223"/>
      <c r="L50" s="223"/>
      <c r="M50" s="223"/>
      <c r="N50" s="273"/>
      <c r="O50" s="178"/>
      <c r="P50" s="223"/>
      <c r="Q50" s="454"/>
      <c r="S50" s="274"/>
      <c r="T50" s="274"/>
      <c r="U50" s="274"/>
      <c r="AJ50" s="454"/>
      <c r="AZ50" s="275"/>
      <c r="BJ50" s="225"/>
      <c r="BK50" s="225"/>
      <c r="BL50" s="225"/>
      <c r="BO50" s="178"/>
      <c r="BP50" s="225"/>
      <c r="BQ50" s="276"/>
      <c r="BR50" s="277"/>
      <c r="BS50" s="225"/>
      <c r="BT50" s="278"/>
      <c r="BX50" s="225"/>
      <c r="BY50" s="225"/>
      <c r="BZ50" s="178"/>
      <c r="CA50" s="178"/>
      <c r="CB50" s="178"/>
      <c r="CC50" s="178"/>
    </row>
    <row r="51" spans="1:81" ht="13.5" thickBot="1" x14ac:dyDescent="0.25">
      <c r="A51" s="304" t="s">
        <v>414</v>
      </c>
      <c r="B51" s="324">
        <v>10</v>
      </c>
      <c r="C51" s="293" t="s">
        <v>32</v>
      </c>
      <c r="D51" s="295">
        <f>B51*0.000000001</f>
        <v>1E-8</v>
      </c>
      <c r="E51" s="283" t="s">
        <v>272</v>
      </c>
      <c r="H51" s="176">
        <v>45</v>
      </c>
      <c r="I51" s="468">
        <f t="shared" si="24"/>
        <v>0.45</v>
      </c>
      <c r="J51" s="223"/>
      <c r="K51" s="223"/>
      <c r="L51" s="223"/>
      <c r="M51" s="223"/>
      <c r="N51" s="273"/>
      <c r="O51" s="178"/>
      <c r="P51" s="223"/>
      <c r="Q51" s="454"/>
      <c r="S51" s="274"/>
      <c r="T51" s="274"/>
      <c r="U51" s="274"/>
      <c r="AJ51" s="454"/>
      <c r="AZ51" s="275"/>
      <c r="BJ51" s="225"/>
      <c r="BK51" s="225"/>
      <c r="BL51" s="225"/>
      <c r="BO51" s="178"/>
      <c r="BP51" s="225"/>
      <c r="BQ51" s="276"/>
      <c r="BR51" s="277"/>
      <c r="BS51" s="225"/>
      <c r="BT51" s="278"/>
      <c r="BX51" s="225"/>
      <c r="BY51" s="225"/>
      <c r="BZ51" s="178"/>
      <c r="CA51" s="178"/>
      <c r="CB51" s="178"/>
      <c r="CC51" s="178"/>
    </row>
    <row r="52" spans="1:81" x14ac:dyDescent="0.2">
      <c r="A52" s="330" t="s">
        <v>503</v>
      </c>
      <c r="B52" s="324">
        <v>0</v>
      </c>
      <c r="C52" s="281" t="s">
        <v>273</v>
      </c>
      <c r="D52" s="295">
        <f>B52/1000000</f>
        <v>0</v>
      </c>
      <c r="E52" s="283" t="s">
        <v>274</v>
      </c>
      <c r="H52" s="176">
        <v>46</v>
      </c>
      <c r="I52" s="468">
        <f t="shared" si="24"/>
        <v>0.46</v>
      </c>
      <c r="J52" s="223"/>
      <c r="K52" s="223"/>
      <c r="L52" s="223"/>
      <c r="M52" s="223"/>
      <c r="N52" s="273"/>
      <c r="O52" s="178"/>
      <c r="P52" s="223"/>
      <c r="Q52" s="454"/>
      <c r="S52" s="274"/>
      <c r="T52" s="274"/>
      <c r="U52" s="274"/>
      <c r="AJ52" s="454"/>
      <c r="AZ52" s="275"/>
      <c r="BJ52" s="225"/>
      <c r="BK52" s="225"/>
      <c r="BL52" s="225"/>
      <c r="BO52" s="178"/>
      <c r="BP52" s="225"/>
      <c r="BQ52" s="276"/>
      <c r="BR52" s="277"/>
      <c r="BS52" s="225"/>
      <c r="BT52" s="278"/>
      <c r="BX52" s="225"/>
      <c r="BY52" s="225"/>
      <c r="BZ52" s="178"/>
      <c r="CA52" s="178"/>
      <c r="CB52" s="178"/>
      <c r="CC52" s="178"/>
    </row>
    <row r="53" spans="1:81" x14ac:dyDescent="0.2">
      <c r="A53" s="176" t="s">
        <v>706</v>
      </c>
      <c r="B53" s="203">
        <f>'Design Converter'!E43</f>
        <v>77</v>
      </c>
      <c r="C53" s="661" t="s">
        <v>84</v>
      </c>
      <c r="D53" s="203">
        <f>B53</f>
        <v>77</v>
      </c>
      <c r="E53" s="176" t="s">
        <v>705</v>
      </c>
      <c r="H53" s="176">
        <v>47</v>
      </c>
      <c r="I53" s="468">
        <f t="shared" si="24"/>
        <v>0.47</v>
      </c>
      <c r="J53" s="223"/>
      <c r="K53" s="223"/>
      <c r="L53" s="223"/>
      <c r="M53" s="223"/>
      <c r="N53" s="273"/>
      <c r="O53" s="178"/>
      <c r="P53" s="223"/>
      <c r="Q53" s="454"/>
      <c r="S53" s="274"/>
      <c r="T53" s="274"/>
      <c r="U53" s="274"/>
      <c r="AJ53" s="454"/>
      <c r="AZ53" s="275"/>
      <c r="BJ53" s="225"/>
      <c r="BK53" s="225"/>
      <c r="BL53" s="225"/>
      <c r="BO53" s="178"/>
      <c r="BP53" s="225"/>
      <c r="BQ53" s="276"/>
      <c r="BR53" s="277"/>
      <c r="BS53" s="225"/>
      <c r="BT53" s="278"/>
      <c r="BX53" s="225"/>
      <c r="BY53" s="225"/>
      <c r="BZ53" s="178"/>
      <c r="CA53" s="178"/>
      <c r="CB53" s="178"/>
      <c r="CC53" s="178"/>
    </row>
    <row r="54" spans="1:81" x14ac:dyDescent="0.2">
      <c r="A54" s="326"/>
      <c r="H54" s="176">
        <v>48</v>
      </c>
      <c r="I54" s="468">
        <f t="shared" si="24"/>
        <v>0.48</v>
      </c>
      <c r="J54" s="223"/>
      <c r="K54" s="223"/>
      <c r="L54" s="223"/>
      <c r="M54" s="223"/>
      <c r="N54" s="273"/>
      <c r="O54" s="178"/>
      <c r="P54" s="223"/>
      <c r="Q54" s="454"/>
      <c r="S54" s="274"/>
      <c r="T54" s="274"/>
      <c r="U54" s="274"/>
      <c r="AJ54" s="454"/>
      <c r="AZ54" s="275"/>
      <c r="BJ54" s="225"/>
      <c r="BK54" s="225"/>
      <c r="BL54" s="225"/>
      <c r="BO54" s="178"/>
      <c r="BP54" s="225"/>
      <c r="BQ54" s="276"/>
      <c r="BR54" s="277"/>
      <c r="BS54" s="225"/>
      <c r="BT54" s="278"/>
      <c r="BX54" s="225"/>
      <c r="BY54" s="225"/>
      <c r="BZ54" s="178"/>
      <c r="CA54" s="178"/>
      <c r="CB54" s="178"/>
      <c r="CC54" s="178"/>
    </row>
    <row r="55" spans="1:81" x14ac:dyDescent="0.2">
      <c r="H55" s="176">
        <v>49</v>
      </c>
      <c r="I55" s="468">
        <f t="shared" si="24"/>
        <v>0.49</v>
      </c>
      <c r="J55" s="223"/>
      <c r="K55" s="223"/>
      <c r="L55" s="223"/>
      <c r="M55" s="223"/>
      <c r="N55" s="273"/>
      <c r="O55" s="178"/>
      <c r="P55" s="223"/>
      <c r="Q55" s="454"/>
      <c r="S55" s="274"/>
      <c r="T55" s="274"/>
      <c r="U55" s="274"/>
      <c r="AJ55" s="454"/>
      <c r="AZ55" s="275"/>
      <c r="BJ55" s="225"/>
      <c r="BK55" s="225"/>
      <c r="BL55" s="225"/>
      <c r="BO55" s="178"/>
      <c r="BP55" s="225"/>
      <c r="BQ55" s="276"/>
      <c r="BR55" s="277"/>
      <c r="BS55" s="225"/>
      <c r="BT55" s="278"/>
      <c r="BX55" s="225"/>
      <c r="BY55" s="225"/>
      <c r="BZ55" s="178"/>
      <c r="CA55" s="178"/>
      <c r="CB55" s="178"/>
      <c r="CC55" s="178"/>
    </row>
    <row r="56" spans="1:81" x14ac:dyDescent="0.2">
      <c r="H56" s="176">
        <v>50</v>
      </c>
      <c r="I56" s="468">
        <f t="shared" si="24"/>
        <v>0.5</v>
      </c>
      <c r="J56" s="223"/>
      <c r="K56" s="223"/>
      <c r="L56" s="223"/>
      <c r="M56" s="223"/>
      <c r="N56" s="273"/>
      <c r="O56" s="178"/>
      <c r="P56" s="223"/>
      <c r="Q56" s="454"/>
      <c r="S56" s="274"/>
      <c r="T56" s="274"/>
      <c r="U56" s="274"/>
      <c r="AJ56" s="454"/>
      <c r="AZ56" s="275"/>
      <c r="BJ56" s="225"/>
      <c r="BK56" s="225"/>
      <c r="BL56" s="225"/>
      <c r="BO56" s="178"/>
      <c r="BP56" s="225"/>
      <c r="BQ56" s="276"/>
      <c r="BR56" s="277"/>
      <c r="BS56" s="225"/>
      <c r="BT56" s="278"/>
      <c r="BX56" s="225"/>
      <c r="BY56" s="225"/>
      <c r="BZ56" s="178"/>
      <c r="CA56" s="178"/>
      <c r="CB56" s="178"/>
      <c r="CC56" s="178"/>
    </row>
    <row r="57" spans="1:81" x14ac:dyDescent="0.2">
      <c r="H57" s="176">
        <v>51</v>
      </c>
      <c r="I57" s="468">
        <f t="shared" si="24"/>
        <v>0.51</v>
      </c>
      <c r="J57" s="223"/>
      <c r="K57" s="223"/>
      <c r="L57" s="223"/>
      <c r="M57" s="223"/>
      <c r="N57" s="273"/>
      <c r="O57" s="178"/>
      <c r="P57" s="223"/>
      <c r="Q57" s="454"/>
      <c r="S57" s="274"/>
      <c r="T57" s="274"/>
      <c r="U57" s="274"/>
      <c r="AJ57" s="454"/>
      <c r="AZ57" s="275"/>
      <c r="BJ57" s="225"/>
      <c r="BK57" s="225"/>
      <c r="BL57" s="225"/>
      <c r="BO57" s="178"/>
      <c r="BP57" s="225"/>
      <c r="BQ57" s="276"/>
      <c r="BR57" s="277"/>
      <c r="BS57" s="225"/>
      <c r="BT57" s="278"/>
      <c r="BX57" s="225"/>
      <c r="BY57" s="225"/>
      <c r="BZ57" s="178"/>
      <c r="CA57" s="178"/>
      <c r="CB57" s="178"/>
      <c r="CC57" s="178"/>
    </row>
    <row r="58" spans="1:81" x14ac:dyDescent="0.2">
      <c r="H58" s="176">
        <v>52</v>
      </c>
      <c r="I58" s="468">
        <f t="shared" si="24"/>
        <v>0.52</v>
      </c>
      <c r="J58" s="223"/>
      <c r="K58" s="223"/>
      <c r="L58" s="223"/>
      <c r="M58" s="223"/>
      <c r="N58" s="273"/>
      <c r="O58" s="178"/>
      <c r="P58" s="223"/>
      <c r="Q58" s="454"/>
      <c r="S58" s="274"/>
      <c r="T58" s="274"/>
      <c r="U58" s="274"/>
      <c r="AJ58" s="454"/>
      <c r="AZ58" s="275"/>
      <c r="BJ58" s="225"/>
      <c r="BK58" s="225"/>
      <c r="BL58" s="225"/>
      <c r="BO58" s="178"/>
      <c r="BP58" s="225"/>
      <c r="BQ58" s="276"/>
      <c r="BR58" s="277"/>
      <c r="BS58" s="225"/>
      <c r="BT58" s="278"/>
      <c r="BX58" s="225"/>
      <c r="BY58" s="225"/>
      <c r="BZ58" s="178"/>
      <c r="CA58" s="178"/>
      <c r="CB58" s="178"/>
      <c r="CC58" s="178"/>
    </row>
    <row r="59" spans="1:81" x14ac:dyDescent="0.2">
      <c r="H59" s="176">
        <v>53</v>
      </c>
      <c r="I59" s="468">
        <f t="shared" si="24"/>
        <v>0.53</v>
      </c>
      <c r="J59" s="223"/>
      <c r="K59" s="223"/>
      <c r="L59" s="223"/>
      <c r="M59" s="223"/>
      <c r="N59" s="273"/>
      <c r="O59" s="178"/>
      <c r="P59" s="223"/>
      <c r="Q59" s="454"/>
      <c r="S59" s="274"/>
      <c r="T59" s="274"/>
      <c r="U59" s="274"/>
      <c r="AJ59" s="454"/>
      <c r="AZ59" s="275"/>
      <c r="BJ59" s="225"/>
      <c r="BK59" s="225"/>
      <c r="BL59" s="225"/>
      <c r="BO59" s="178"/>
      <c r="BP59" s="225"/>
      <c r="BQ59" s="276"/>
      <c r="BR59" s="277"/>
      <c r="BS59" s="225"/>
      <c r="BT59" s="278"/>
      <c r="BX59" s="225"/>
      <c r="BY59" s="225"/>
      <c r="BZ59" s="178"/>
      <c r="CA59" s="178"/>
      <c r="CB59" s="178"/>
      <c r="CC59" s="178"/>
    </row>
    <row r="60" spans="1:81" x14ac:dyDescent="0.2">
      <c r="H60" s="176">
        <v>54</v>
      </c>
      <c r="I60" s="468">
        <f t="shared" si="24"/>
        <v>0.54</v>
      </c>
      <c r="J60" s="223"/>
      <c r="K60" s="223"/>
      <c r="L60" s="223"/>
      <c r="M60" s="223"/>
      <c r="N60" s="273"/>
      <c r="O60" s="178"/>
      <c r="P60" s="223"/>
      <c r="Q60" s="454"/>
      <c r="S60" s="274"/>
      <c r="T60" s="274"/>
      <c r="U60" s="274"/>
      <c r="AJ60" s="454"/>
      <c r="AZ60" s="275"/>
      <c r="BJ60" s="225"/>
      <c r="BK60" s="225"/>
      <c r="BL60" s="225"/>
      <c r="BO60" s="178"/>
      <c r="BP60" s="225"/>
      <c r="BQ60" s="276"/>
      <c r="BR60" s="277"/>
      <c r="BS60" s="225"/>
      <c r="BT60" s="278"/>
      <c r="BX60" s="225"/>
      <c r="BY60" s="225"/>
      <c r="BZ60" s="178"/>
      <c r="CA60" s="178"/>
      <c r="CB60" s="178"/>
      <c r="CC60" s="178"/>
    </row>
    <row r="61" spans="1:81" x14ac:dyDescent="0.2">
      <c r="H61" s="176">
        <v>55</v>
      </c>
      <c r="I61" s="468">
        <f t="shared" si="24"/>
        <v>0.55000000000000004</v>
      </c>
      <c r="J61" s="223"/>
      <c r="K61" s="223"/>
      <c r="L61" s="223"/>
      <c r="M61" s="223"/>
      <c r="N61" s="273"/>
      <c r="O61" s="178"/>
      <c r="P61" s="223"/>
      <c r="Q61" s="454"/>
      <c r="S61" s="274"/>
      <c r="T61" s="274"/>
      <c r="U61" s="274"/>
      <c r="AJ61" s="454"/>
      <c r="AZ61" s="275"/>
      <c r="BJ61" s="225"/>
      <c r="BK61" s="225"/>
      <c r="BL61" s="225"/>
      <c r="BO61" s="178"/>
      <c r="BP61" s="225"/>
      <c r="BQ61" s="276"/>
      <c r="BR61" s="277"/>
      <c r="BS61" s="225"/>
      <c r="BT61" s="278"/>
      <c r="BX61" s="225"/>
      <c r="BY61" s="225"/>
      <c r="BZ61" s="178"/>
      <c r="CA61" s="178"/>
      <c r="CB61" s="178"/>
      <c r="CC61" s="178"/>
    </row>
    <row r="62" spans="1:81" x14ac:dyDescent="0.2">
      <c r="H62" s="176">
        <v>56</v>
      </c>
      <c r="I62" s="468">
        <f t="shared" si="24"/>
        <v>0.56000000000000005</v>
      </c>
      <c r="J62" s="223"/>
      <c r="K62" s="223"/>
      <c r="L62" s="223"/>
      <c r="M62" s="223"/>
      <c r="N62" s="273"/>
      <c r="O62" s="178"/>
      <c r="P62" s="223"/>
      <c r="Q62" s="454"/>
      <c r="S62" s="274"/>
      <c r="T62" s="274"/>
      <c r="U62" s="274"/>
      <c r="AJ62" s="454"/>
      <c r="AZ62" s="275"/>
      <c r="BJ62" s="225"/>
      <c r="BK62" s="225"/>
      <c r="BL62" s="225"/>
      <c r="BO62" s="178"/>
      <c r="BP62" s="225"/>
      <c r="BQ62" s="276"/>
      <c r="BR62" s="277"/>
      <c r="BS62" s="225"/>
      <c r="BT62" s="278"/>
      <c r="BX62" s="225"/>
      <c r="BY62" s="225"/>
      <c r="BZ62" s="178"/>
      <c r="CA62" s="178"/>
      <c r="CB62" s="178"/>
      <c r="CC62" s="178"/>
    </row>
    <row r="63" spans="1:81" x14ac:dyDescent="0.2">
      <c r="F63" s="331" t="s">
        <v>275</v>
      </c>
      <c r="G63" s="331" t="s">
        <v>276</v>
      </c>
      <c r="H63" s="176">
        <v>57</v>
      </c>
      <c r="I63" s="468">
        <f t="shared" si="24"/>
        <v>0.56999999999999995</v>
      </c>
      <c r="J63" s="223"/>
      <c r="K63" s="223"/>
      <c r="L63" s="223"/>
      <c r="M63" s="223"/>
      <c r="N63" s="273"/>
      <c r="O63" s="178"/>
      <c r="P63" s="223"/>
      <c r="Q63" s="454"/>
      <c r="S63" s="274"/>
      <c r="T63" s="274"/>
      <c r="U63" s="274"/>
      <c r="AJ63" s="454"/>
      <c r="AZ63" s="275"/>
      <c r="BJ63" s="225"/>
      <c r="BK63" s="225"/>
      <c r="BL63" s="225"/>
      <c r="BO63" s="178"/>
      <c r="BP63" s="225"/>
      <c r="BQ63" s="276"/>
      <c r="BR63" s="277"/>
      <c r="BS63" s="225"/>
      <c r="BT63" s="278"/>
      <c r="BX63" s="225"/>
      <c r="BY63" s="225"/>
      <c r="BZ63" s="178"/>
      <c r="CA63" s="178"/>
      <c r="CB63" s="178"/>
      <c r="CC63" s="178"/>
    </row>
    <row r="64" spans="1:81" x14ac:dyDescent="0.2">
      <c r="F64" s="332">
        <f>BM56</f>
        <v>0</v>
      </c>
      <c r="G64" s="333">
        <f>I56*1000</f>
        <v>500</v>
      </c>
      <c r="H64" s="176">
        <v>58</v>
      </c>
      <c r="I64" s="468">
        <f t="shared" si="24"/>
        <v>0.57999999999999996</v>
      </c>
      <c r="J64" s="223"/>
      <c r="K64" s="223"/>
      <c r="L64" s="223"/>
      <c r="M64" s="223"/>
      <c r="N64" s="273"/>
      <c r="O64" s="178"/>
      <c r="P64" s="223"/>
      <c r="Q64" s="454"/>
      <c r="S64" s="274"/>
      <c r="T64" s="274"/>
      <c r="U64" s="274"/>
      <c r="AJ64" s="454"/>
      <c r="AZ64" s="275"/>
      <c r="BJ64" s="225"/>
      <c r="BK64" s="225"/>
      <c r="BL64" s="225"/>
      <c r="BO64" s="178"/>
      <c r="BP64" s="225"/>
      <c r="BQ64" s="276"/>
      <c r="BR64" s="277"/>
      <c r="BS64" s="225"/>
      <c r="BT64" s="278"/>
      <c r="BX64" s="225"/>
      <c r="BY64" s="225"/>
      <c r="BZ64" s="178"/>
      <c r="CA64" s="178"/>
      <c r="CB64" s="178"/>
      <c r="CC64" s="178"/>
    </row>
    <row r="65" spans="6:81" x14ac:dyDescent="0.2">
      <c r="F65" s="332">
        <f>BM81</f>
        <v>0</v>
      </c>
      <c r="G65" s="333">
        <f>I81*1000</f>
        <v>750</v>
      </c>
      <c r="H65" s="176">
        <v>59</v>
      </c>
      <c r="I65" s="468">
        <f t="shared" si="24"/>
        <v>0.59</v>
      </c>
      <c r="J65" s="223"/>
      <c r="K65" s="223"/>
      <c r="L65" s="223"/>
      <c r="M65" s="223"/>
      <c r="N65" s="273"/>
      <c r="O65" s="178"/>
      <c r="P65" s="223"/>
      <c r="Q65" s="454"/>
      <c r="S65" s="274"/>
      <c r="T65" s="274"/>
      <c r="U65" s="274"/>
      <c r="AJ65" s="454"/>
      <c r="AZ65" s="275"/>
      <c r="BJ65" s="225"/>
      <c r="BK65" s="225"/>
      <c r="BL65" s="225"/>
      <c r="BO65" s="178"/>
      <c r="BP65" s="225"/>
      <c r="BQ65" s="276"/>
      <c r="BR65" s="277"/>
      <c r="BS65" s="225"/>
      <c r="BT65" s="278"/>
      <c r="BX65" s="225"/>
      <c r="BY65" s="225"/>
      <c r="BZ65" s="178"/>
      <c r="CA65" s="178"/>
      <c r="CB65" s="178"/>
      <c r="CC65" s="178"/>
    </row>
    <row r="66" spans="6:81" x14ac:dyDescent="0.2">
      <c r="F66" s="332">
        <f>BM106</f>
        <v>100</v>
      </c>
      <c r="G66" s="333">
        <f>I106*1000</f>
        <v>1000</v>
      </c>
      <c r="H66" s="176">
        <v>60</v>
      </c>
      <c r="I66" s="468">
        <f t="shared" si="24"/>
        <v>0.6</v>
      </c>
      <c r="J66" s="223"/>
      <c r="K66" s="223"/>
      <c r="L66" s="223"/>
      <c r="M66" s="223"/>
      <c r="N66" s="273"/>
      <c r="O66" s="178"/>
      <c r="P66" s="223"/>
      <c r="Q66" s="454"/>
      <c r="S66" s="274"/>
      <c r="T66" s="274"/>
      <c r="U66" s="274"/>
      <c r="AJ66" s="454"/>
      <c r="AZ66" s="275"/>
      <c r="BJ66" s="225"/>
      <c r="BK66" s="225"/>
      <c r="BL66" s="225"/>
      <c r="BO66" s="178"/>
      <c r="BP66" s="225"/>
      <c r="BQ66" s="276"/>
      <c r="BR66" s="277"/>
      <c r="BS66" s="225"/>
      <c r="BT66" s="278"/>
      <c r="BX66" s="225"/>
      <c r="BY66" s="225"/>
      <c r="BZ66" s="178"/>
      <c r="CA66" s="178"/>
      <c r="CB66" s="178"/>
      <c r="CC66" s="178"/>
    </row>
    <row r="67" spans="6:81" x14ac:dyDescent="0.2">
      <c r="H67" s="176">
        <v>61</v>
      </c>
      <c r="I67" s="468">
        <f t="shared" si="24"/>
        <v>0.61</v>
      </c>
      <c r="J67" s="223"/>
      <c r="K67" s="223"/>
      <c r="L67" s="223"/>
      <c r="M67" s="223"/>
      <c r="N67" s="273"/>
      <c r="O67" s="178"/>
      <c r="P67" s="223"/>
      <c r="Q67" s="454"/>
      <c r="S67" s="274"/>
      <c r="T67" s="274"/>
      <c r="U67" s="274"/>
      <c r="AJ67" s="454"/>
      <c r="AZ67" s="275"/>
      <c r="BJ67" s="225"/>
      <c r="BK67" s="225"/>
      <c r="BL67" s="225"/>
      <c r="BO67" s="178"/>
      <c r="BP67" s="225"/>
      <c r="BQ67" s="276"/>
      <c r="BR67" s="277"/>
      <c r="BS67" s="225"/>
      <c r="BT67" s="278"/>
      <c r="BX67" s="225"/>
      <c r="BY67" s="225"/>
      <c r="BZ67" s="178"/>
      <c r="CA67" s="178"/>
      <c r="CB67" s="178"/>
      <c r="CC67" s="178"/>
    </row>
    <row r="68" spans="6:81" x14ac:dyDescent="0.2">
      <c r="H68" s="176">
        <v>62</v>
      </c>
      <c r="I68" s="468">
        <f t="shared" si="24"/>
        <v>0.62</v>
      </c>
      <c r="J68" s="223"/>
      <c r="K68" s="223"/>
      <c r="L68" s="223"/>
      <c r="M68" s="223"/>
      <c r="N68" s="273"/>
      <c r="O68" s="178"/>
      <c r="P68" s="223"/>
      <c r="Q68" s="454"/>
      <c r="S68" s="274"/>
      <c r="T68" s="274"/>
      <c r="U68" s="274"/>
      <c r="AJ68" s="454"/>
      <c r="AZ68" s="275"/>
      <c r="BJ68" s="225"/>
      <c r="BK68" s="225"/>
      <c r="BL68" s="225"/>
      <c r="BO68" s="178"/>
      <c r="BP68" s="225"/>
      <c r="BQ68" s="276"/>
      <c r="BR68" s="277"/>
      <c r="BS68" s="225"/>
      <c r="BT68" s="278"/>
      <c r="BX68" s="225"/>
      <c r="BY68" s="225"/>
      <c r="BZ68" s="178"/>
      <c r="CA68" s="178"/>
      <c r="CB68" s="178"/>
      <c r="CC68" s="178"/>
    </row>
    <row r="69" spans="6:81" x14ac:dyDescent="0.2">
      <c r="H69" s="176">
        <v>63</v>
      </c>
      <c r="I69" s="468">
        <f t="shared" si="24"/>
        <v>0.63</v>
      </c>
      <c r="J69" s="223"/>
      <c r="K69" s="223"/>
      <c r="L69" s="223"/>
      <c r="M69" s="223"/>
      <c r="N69" s="273"/>
      <c r="O69" s="178"/>
      <c r="P69" s="223"/>
      <c r="Q69" s="454"/>
      <c r="S69" s="274"/>
      <c r="T69" s="274"/>
      <c r="U69" s="274"/>
      <c r="AJ69" s="454"/>
      <c r="AZ69" s="275"/>
      <c r="BJ69" s="225"/>
      <c r="BK69" s="225"/>
      <c r="BL69" s="225"/>
      <c r="BO69" s="178"/>
      <c r="BP69" s="225"/>
      <c r="BQ69" s="276"/>
      <c r="BR69" s="277"/>
      <c r="BS69" s="225"/>
      <c r="BT69" s="278"/>
      <c r="BX69" s="225"/>
      <c r="BY69" s="225"/>
      <c r="BZ69" s="178"/>
      <c r="CA69" s="178"/>
      <c r="CB69" s="178"/>
      <c r="CC69" s="178"/>
    </row>
    <row r="70" spans="6:81" x14ac:dyDescent="0.2">
      <c r="H70" s="176">
        <v>64</v>
      </c>
      <c r="I70" s="468">
        <f t="shared" ref="I70:I101" si="25">IF(PLOT_TYPE=1, H70/100*Iout_max, min_I*EXP(H70*rr/100))</f>
        <v>0.64</v>
      </c>
      <c r="J70" s="223"/>
      <c r="K70" s="223"/>
      <c r="L70" s="223"/>
      <c r="M70" s="223"/>
      <c r="N70" s="273"/>
      <c r="O70" s="178"/>
      <c r="P70" s="223"/>
      <c r="Q70" s="454"/>
      <c r="S70" s="274"/>
      <c r="T70" s="274"/>
      <c r="U70" s="274"/>
      <c r="AJ70" s="454"/>
      <c r="AZ70" s="275"/>
      <c r="BJ70" s="225"/>
      <c r="BK70" s="225"/>
      <c r="BL70" s="225"/>
      <c r="BO70" s="178"/>
      <c r="BP70" s="225"/>
      <c r="BQ70" s="276"/>
      <c r="BR70" s="277"/>
      <c r="BS70" s="225"/>
      <c r="BT70" s="278"/>
      <c r="BX70" s="225"/>
      <c r="BY70" s="225"/>
      <c r="BZ70" s="178"/>
      <c r="CA70" s="178"/>
      <c r="CB70" s="178"/>
      <c r="CC70" s="178"/>
    </row>
    <row r="71" spans="6:81" x14ac:dyDescent="0.2">
      <c r="H71" s="176">
        <v>65</v>
      </c>
      <c r="I71" s="468">
        <f t="shared" si="25"/>
        <v>0.65</v>
      </c>
      <c r="J71" s="223"/>
      <c r="K71" s="223"/>
      <c r="L71" s="223"/>
      <c r="M71" s="223"/>
      <c r="N71" s="273"/>
      <c r="O71" s="178"/>
      <c r="P71" s="223"/>
      <c r="Q71" s="454"/>
      <c r="S71" s="274"/>
      <c r="T71" s="274"/>
      <c r="U71" s="274"/>
      <c r="AJ71" s="454"/>
      <c r="AZ71" s="275"/>
      <c r="BJ71" s="225"/>
      <c r="BK71" s="225"/>
      <c r="BL71" s="225"/>
      <c r="BO71" s="178"/>
      <c r="BP71" s="225"/>
      <c r="BQ71" s="276"/>
      <c r="BR71" s="277"/>
      <c r="BS71" s="225"/>
      <c r="BT71" s="278"/>
      <c r="BX71" s="225"/>
      <c r="BY71" s="225"/>
      <c r="BZ71" s="178"/>
      <c r="CA71" s="178"/>
      <c r="CB71" s="178"/>
      <c r="CC71" s="178"/>
    </row>
    <row r="72" spans="6:81" x14ac:dyDescent="0.2">
      <c r="H72" s="176">
        <v>66</v>
      </c>
      <c r="I72" s="468">
        <f t="shared" si="25"/>
        <v>0.66</v>
      </c>
      <c r="J72" s="223"/>
      <c r="K72" s="223"/>
      <c r="L72" s="223"/>
      <c r="M72" s="223"/>
      <c r="N72" s="273"/>
      <c r="O72" s="178"/>
      <c r="P72" s="223"/>
      <c r="Q72" s="454"/>
      <c r="S72" s="274"/>
      <c r="T72" s="274"/>
      <c r="U72" s="274"/>
      <c r="AJ72" s="454"/>
      <c r="AZ72" s="275"/>
      <c r="BJ72" s="225"/>
      <c r="BK72" s="225"/>
      <c r="BL72" s="225"/>
      <c r="BO72" s="178"/>
      <c r="BP72" s="225"/>
      <c r="BQ72" s="276"/>
      <c r="BR72" s="277"/>
      <c r="BS72" s="225"/>
      <c r="BT72" s="278"/>
      <c r="BX72" s="225"/>
      <c r="BY72" s="225"/>
      <c r="BZ72" s="178"/>
      <c r="CA72" s="178"/>
      <c r="CB72" s="178"/>
      <c r="CC72" s="178"/>
    </row>
    <row r="73" spans="6:81" x14ac:dyDescent="0.2">
      <c r="H73" s="176">
        <v>67</v>
      </c>
      <c r="I73" s="468">
        <f t="shared" si="25"/>
        <v>0.67</v>
      </c>
      <c r="J73" s="223"/>
      <c r="K73" s="223"/>
      <c r="L73" s="223"/>
      <c r="M73" s="223"/>
      <c r="N73" s="273"/>
      <c r="O73" s="178"/>
      <c r="P73" s="223"/>
      <c r="Q73" s="454"/>
      <c r="S73" s="274"/>
      <c r="T73" s="274"/>
      <c r="U73" s="274"/>
      <c r="AJ73" s="454"/>
      <c r="AZ73" s="275"/>
      <c r="BJ73" s="225"/>
      <c r="BK73" s="225"/>
      <c r="BL73" s="225"/>
      <c r="BO73" s="178"/>
      <c r="BP73" s="225"/>
      <c r="BQ73" s="276"/>
      <c r="BR73" s="277"/>
      <c r="BS73" s="225"/>
      <c r="BT73" s="278"/>
      <c r="BX73" s="225"/>
      <c r="BY73" s="225"/>
      <c r="BZ73" s="178"/>
      <c r="CA73" s="178"/>
      <c r="CB73" s="178"/>
      <c r="CC73" s="178"/>
    </row>
    <row r="74" spans="6:81" x14ac:dyDescent="0.2">
      <c r="H74" s="176">
        <v>68</v>
      </c>
      <c r="I74" s="468">
        <f t="shared" si="25"/>
        <v>0.68</v>
      </c>
      <c r="J74" s="223"/>
      <c r="K74" s="223"/>
      <c r="L74" s="223"/>
      <c r="M74" s="223"/>
      <c r="N74" s="273"/>
      <c r="O74" s="178"/>
      <c r="P74" s="223"/>
      <c r="Q74" s="454"/>
      <c r="S74" s="274"/>
      <c r="T74" s="274"/>
      <c r="U74" s="274"/>
      <c r="AJ74" s="454"/>
      <c r="AZ74" s="275"/>
      <c r="BJ74" s="225"/>
      <c r="BK74" s="225"/>
      <c r="BL74" s="225"/>
      <c r="BO74" s="178"/>
      <c r="BP74" s="225"/>
      <c r="BQ74" s="276"/>
      <c r="BR74" s="277"/>
      <c r="BS74" s="225"/>
      <c r="BT74" s="278"/>
      <c r="BX74" s="225"/>
      <c r="BY74" s="225"/>
      <c r="BZ74" s="178"/>
      <c r="CA74" s="178"/>
      <c r="CB74" s="178"/>
      <c r="CC74" s="178"/>
    </row>
    <row r="75" spans="6:81" x14ac:dyDescent="0.2">
      <c r="H75" s="176">
        <v>69</v>
      </c>
      <c r="I75" s="468">
        <f t="shared" si="25"/>
        <v>0.69</v>
      </c>
      <c r="J75" s="223"/>
      <c r="K75" s="223"/>
      <c r="L75" s="223"/>
      <c r="M75" s="223"/>
      <c r="N75" s="273"/>
      <c r="O75" s="178"/>
      <c r="P75" s="223"/>
      <c r="Q75" s="454"/>
      <c r="S75" s="274"/>
      <c r="T75" s="274"/>
      <c r="U75" s="274"/>
      <c r="AJ75" s="454"/>
      <c r="AZ75" s="275"/>
      <c r="BJ75" s="225"/>
      <c r="BK75" s="225"/>
      <c r="BL75" s="225"/>
      <c r="BO75" s="178"/>
      <c r="BP75" s="225"/>
      <c r="BQ75" s="276"/>
      <c r="BR75" s="277"/>
      <c r="BS75" s="225"/>
      <c r="BT75" s="278"/>
      <c r="BX75" s="225"/>
      <c r="BY75" s="225"/>
      <c r="BZ75" s="178"/>
      <c r="CA75" s="178"/>
      <c r="CB75" s="178"/>
      <c r="CC75" s="178"/>
    </row>
    <row r="76" spans="6:81" x14ac:dyDescent="0.2">
      <c r="H76" s="176">
        <v>70</v>
      </c>
      <c r="I76" s="468">
        <f t="shared" si="25"/>
        <v>0.7</v>
      </c>
      <c r="J76" s="223"/>
      <c r="K76" s="223"/>
      <c r="L76" s="223"/>
      <c r="M76" s="223"/>
      <c r="N76" s="273"/>
      <c r="O76" s="178"/>
      <c r="P76" s="223"/>
      <c r="Q76" s="454"/>
      <c r="S76" s="274"/>
      <c r="T76" s="274"/>
      <c r="U76" s="274"/>
      <c r="AJ76" s="454"/>
      <c r="AZ76" s="275"/>
      <c r="BJ76" s="225"/>
      <c r="BK76" s="225"/>
      <c r="BL76" s="225"/>
      <c r="BO76" s="178"/>
      <c r="BP76" s="225"/>
      <c r="BQ76" s="276"/>
      <c r="BR76" s="277"/>
      <c r="BS76" s="225"/>
      <c r="BT76" s="278"/>
      <c r="BX76" s="225"/>
      <c r="BY76" s="225"/>
      <c r="BZ76" s="178"/>
      <c r="CA76" s="178"/>
      <c r="CB76" s="178"/>
      <c r="CC76" s="178"/>
    </row>
    <row r="77" spans="6:81" x14ac:dyDescent="0.2">
      <c r="H77" s="176">
        <v>71</v>
      </c>
      <c r="I77" s="468">
        <f t="shared" si="25"/>
        <v>0.71</v>
      </c>
      <c r="J77" s="223"/>
      <c r="K77" s="223"/>
      <c r="L77" s="223"/>
      <c r="M77" s="223"/>
      <c r="N77" s="273"/>
      <c r="O77" s="178"/>
      <c r="P77" s="223"/>
      <c r="Q77" s="454"/>
      <c r="S77" s="274"/>
      <c r="T77" s="274"/>
      <c r="U77" s="274"/>
      <c r="AJ77" s="454"/>
      <c r="AZ77" s="275"/>
      <c r="BJ77" s="225"/>
      <c r="BK77" s="225"/>
      <c r="BL77" s="225"/>
      <c r="BO77" s="178"/>
      <c r="BP77" s="225"/>
      <c r="BQ77" s="276"/>
      <c r="BR77" s="277"/>
      <c r="BS77" s="225"/>
      <c r="BT77" s="278"/>
      <c r="BX77" s="225"/>
      <c r="BY77" s="225"/>
      <c r="BZ77" s="178"/>
      <c r="CA77" s="178"/>
      <c r="CB77" s="178"/>
      <c r="CC77" s="178"/>
    </row>
    <row r="78" spans="6:81" x14ac:dyDescent="0.2">
      <c r="H78" s="176">
        <v>72</v>
      </c>
      <c r="I78" s="468">
        <f t="shared" si="25"/>
        <v>0.72</v>
      </c>
      <c r="J78" s="223"/>
      <c r="K78" s="223"/>
      <c r="L78" s="223"/>
      <c r="M78" s="223"/>
      <c r="N78" s="273"/>
      <c r="O78" s="178"/>
      <c r="P78" s="223"/>
      <c r="Q78" s="454"/>
      <c r="S78" s="274"/>
      <c r="T78" s="274"/>
      <c r="U78" s="274"/>
      <c r="AJ78" s="454"/>
      <c r="AZ78" s="275"/>
      <c r="BJ78" s="225"/>
      <c r="BK78" s="225"/>
      <c r="BL78" s="225"/>
      <c r="BO78" s="178"/>
      <c r="BP78" s="225"/>
      <c r="BQ78" s="276"/>
      <c r="BR78" s="277"/>
      <c r="BS78" s="225"/>
      <c r="BT78" s="278"/>
      <c r="BX78" s="225"/>
      <c r="BY78" s="225"/>
      <c r="BZ78" s="178"/>
      <c r="CA78" s="178"/>
      <c r="CB78" s="178"/>
      <c r="CC78" s="178"/>
    </row>
    <row r="79" spans="6:81" x14ac:dyDescent="0.2">
      <c r="H79" s="176">
        <v>73</v>
      </c>
      <c r="I79" s="468">
        <f t="shared" si="25"/>
        <v>0.73</v>
      </c>
      <c r="J79" s="223"/>
      <c r="K79" s="223"/>
      <c r="L79" s="223"/>
      <c r="M79" s="223"/>
      <c r="N79" s="273"/>
      <c r="O79" s="178"/>
      <c r="P79" s="223"/>
      <c r="Q79" s="454"/>
      <c r="S79" s="274"/>
      <c r="T79" s="274"/>
      <c r="U79" s="274"/>
      <c r="AJ79" s="454"/>
      <c r="AZ79" s="275"/>
      <c r="BJ79" s="225"/>
      <c r="BK79" s="225"/>
      <c r="BL79" s="225"/>
      <c r="BO79" s="178"/>
      <c r="BP79" s="225"/>
      <c r="BQ79" s="276"/>
      <c r="BR79" s="277"/>
      <c r="BS79" s="225"/>
      <c r="BT79" s="278"/>
      <c r="BX79" s="225"/>
      <c r="BY79" s="225"/>
      <c r="BZ79" s="178"/>
      <c r="CA79" s="178"/>
      <c r="CB79" s="178"/>
      <c r="CC79" s="178"/>
    </row>
    <row r="80" spans="6:81" x14ac:dyDescent="0.2">
      <c r="H80" s="176">
        <v>74</v>
      </c>
      <c r="I80" s="468">
        <f t="shared" si="25"/>
        <v>0.74</v>
      </c>
      <c r="J80" s="223"/>
      <c r="K80" s="223"/>
      <c r="L80" s="223"/>
      <c r="M80" s="223"/>
      <c r="N80" s="273"/>
      <c r="O80" s="178"/>
      <c r="P80" s="223"/>
      <c r="Q80" s="454"/>
      <c r="S80" s="274"/>
      <c r="T80" s="274"/>
      <c r="U80" s="274"/>
      <c r="AJ80" s="454"/>
      <c r="AZ80" s="275"/>
      <c r="BJ80" s="225"/>
      <c r="BK80" s="225"/>
      <c r="BL80" s="225"/>
      <c r="BO80" s="178"/>
      <c r="BP80" s="225"/>
      <c r="BQ80" s="276"/>
      <c r="BR80" s="277"/>
      <c r="BS80" s="225"/>
      <c r="BT80" s="278"/>
      <c r="BX80" s="225"/>
      <c r="BY80" s="225"/>
      <c r="BZ80" s="178"/>
      <c r="CA80" s="178"/>
      <c r="CB80" s="178"/>
      <c r="CC80" s="178"/>
    </row>
    <row r="81" spans="6:81" x14ac:dyDescent="0.2">
      <c r="H81" s="176">
        <v>75</v>
      </c>
      <c r="I81" s="468">
        <f t="shared" si="25"/>
        <v>0.75</v>
      </c>
      <c r="J81" s="223"/>
      <c r="K81" s="223"/>
      <c r="L81" s="223"/>
      <c r="M81" s="223"/>
      <c r="N81" s="273"/>
      <c r="O81" s="178"/>
      <c r="P81" s="223"/>
      <c r="Q81" s="454"/>
      <c r="S81" s="274"/>
      <c r="T81" s="274"/>
      <c r="U81" s="274"/>
      <c r="AJ81" s="454"/>
      <c r="AZ81" s="275"/>
      <c r="BJ81" s="225"/>
      <c r="BK81" s="225"/>
      <c r="BL81" s="225"/>
      <c r="BO81" s="178"/>
      <c r="BP81" s="225"/>
      <c r="BQ81" s="276"/>
      <c r="BR81" s="277"/>
      <c r="BS81" s="225"/>
      <c r="BT81" s="278"/>
      <c r="BX81" s="225"/>
      <c r="BY81" s="225"/>
      <c r="BZ81" s="178"/>
      <c r="CA81" s="178"/>
      <c r="CB81" s="178"/>
      <c r="CC81" s="178"/>
    </row>
    <row r="82" spans="6:81" x14ac:dyDescent="0.2">
      <c r="H82" s="176">
        <v>76</v>
      </c>
      <c r="I82" s="468">
        <f t="shared" si="25"/>
        <v>0.76</v>
      </c>
      <c r="J82" s="223"/>
      <c r="K82" s="223"/>
      <c r="L82" s="223"/>
      <c r="M82" s="223"/>
      <c r="N82" s="273"/>
      <c r="O82" s="178"/>
      <c r="P82" s="223"/>
      <c r="Q82" s="454"/>
      <c r="S82" s="274"/>
      <c r="T82" s="274"/>
      <c r="U82" s="274"/>
      <c r="AJ82" s="454"/>
      <c r="AZ82" s="275"/>
      <c r="BJ82" s="225"/>
      <c r="BK82" s="225"/>
      <c r="BL82" s="225"/>
      <c r="BO82" s="178"/>
      <c r="BP82" s="225"/>
      <c r="BQ82" s="276"/>
      <c r="BR82" s="277"/>
      <c r="BS82" s="225"/>
      <c r="BT82" s="278"/>
      <c r="BX82" s="225"/>
      <c r="BY82" s="225"/>
      <c r="BZ82" s="178"/>
      <c r="CA82" s="178"/>
      <c r="CB82" s="178"/>
      <c r="CC82" s="178"/>
    </row>
    <row r="83" spans="6:81" x14ac:dyDescent="0.2">
      <c r="H83" s="176">
        <v>77</v>
      </c>
      <c r="I83" s="468">
        <f t="shared" si="25"/>
        <v>0.77</v>
      </c>
      <c r="J83" s="223"/>
      <c r="K83" s="223"/>
      <c r="L83" s="223"/>
      <c r="M83" s="223"/>
      <c r="N83" s="273"/>
      <c r="O83" s="178"/>
      <c r="P83" s="223"/>
      <c r="Q83" s="454"/>
      <c r="S83" s="274"/>
      <c r="T83" s="274"/>
      <c r="U83" s="274"/>
      <c r="AJ83" s="454"/>
      <c r="AZ83" s="275"/>
      <c r="BJ83" s="225"/>
      <c r="BK83" s="225"/>
      <c r="BL83" s="225"/>
      <c r="BO83" s="178"/>
      <c r="BP83" s="225"/>
      <c r="BQ83" s="276"/>
      <c r="BR83" s="277"/>
      <c r="BS83" s="225"/>
      <c r="BT83" s="278"/>
      <c r="BX83" s="225"/>
      <c r="BY83" s="225"/>
      <c r="BZ83" s="178"/>
      <c r="CA83" s="178"/>
      <c r="CB83" s="178"/>
      <c r="CC83" s="178"/>
    </row>
    <row r="84" spans="6:81" x14ac:dyDescent="0.2">
      <c r="H84" s="176">
        <v>78</v>
      </c>
      <c r="I84" s="468">
        <f t="shared" si="25"/>
        <v>0.78</v>
      </c>
      <c r="J84" s="223"/>
      <c r="K84" s="223"/>
      <c r="L84" s="223"/>
      <c r="M84" s="223"/>
      <c r="N84" s="273"/>
      <c r="O84" s="178"/>
      <c r="P84" s="223"/>
      <c r="Q84" s="454"/>
      <c r="S84" s="274"/>
      <c r="T84" s="274"/>
      <c r="U84" s="274"/>
      <c r="AJ84" s="454"/>
      <c r="AZ84" s="275"/>
      <c r="BJ84" s="225"/>
      <c r="BK84" s="225"/>
      <c r="BL84" s="225"/>
      <c r="BO84" s="178"/>
      <c r="BP84" s="225"/>
      <c r="BQ84" s="276"/>
      <c r="BR84" s="277"/>
      <c r="BS84" s="225"/>
      <c r="BT84" s="278"/>
      <c r="BX84" s="225"/>
      <c r="BY84" s="225"/>
      <c r="BZ84" s="178"/>
      <c r="CA84" s="178"/>
      <c r="CB84" s="178"/>
      <c r="CC84" s="178"/>
    </row>
    <row r="85" spans="6:81" x14ac:dyDescent="0.2">
      <c r="H85" s="176">
        <v>79</v>
      </c>
      <c r="I85" s="468">
        <f t="shared" si="25"/>
        <v>0.79</v>
      </c>
      <c r="J85" s="223"/>
      <c r="K85" s="223"/>
      <c r="L85" s="223"/>
      <c r="M85" s="223"/>
      <c r="N85" s="273"/>
      <c r="O85" s="178"/>
      <c r="P85" s="223"/>
      <c r="Q85" s="454"/>
      <c r="S85" s="274"/>
      <c r="T85" s="274"/>
      <c r="U85" s="274"/>
      <c r="AJ85" s="454"/>
      <c r="AZ85" s="275"/>
      <c r="BJ85" s="225"/>
      <c r="BK85" s="225"/>
      <c r="BL85" s="225"/>
      <c r="BO85" s="178"/>
      <c r="BP85" s="225"/>
      <c r="BQ85" s="276"/>
      <c r="BR85" s="277"/>
      <c r="BS85" s="225"/>
      <c r="BT85" s="278"/>
      <c r="BX85" s="225"/>
      <c r="BY85" s="225"/>
      <c r="BZ85" s="178"/>
      <c r="CA85" s="178"/>
      <c r="CB85" s="178"/>
      <c r="CC85" s="178"/>
    </row>
    <row r="86" spans="6:81" x14ac:dyDescent="0.2">
      <c r="H86" s="176">
        <v>80</v>
      </c>
      <c r="I86" s="468">
        <f t="shared" si="25"/>
        <v>0.8</v>
      </c>
      <c r="J86" s="223"/>
      <c r="K86" s="223"/>
      <c r="L86" s="223"/>
      <c r="M86" s="223"/>
      <c r="N86" s="273"/>
      <c r="O86" s="178"/>
      <c r="P86" s="223"/>
      <c r="Q86" s="454"/>
      <c r="S86" s="274"/>
      <c r="T86" s="274"/>
      <c r="U86" s="274"/>
      <c r="AJ86" s="454"/>
      <c r="AZ86" s="275"/>
      <c r="BJ86" s="225"/>
      <c r="BK86" s="225"/>
      <c r="BL86" s="225"/>
      <c r="BO86" s="178"/>
      <c r="BP86" s="225"/>
      <c r="BQ86" s="276"/>
      <c r="BR86" s="277"/>
      <c r="BS86" s="225"/>
      <c r="BT86" s="278"/>
      <c r="BX86" s="225"/>
      <c r="BY86" s="225"/>
      <c r="BZ86" s="178"/>
      <c r="CA86" s="178"/>
      <c r="CB86" s="178"/>
      <c r="CC86" s="178"/>
    </row>
    <row r="87" spans="6:81" x14ac:dyDescent="0.2">
      <c r="H87" s="176">
        <v>81</v>
      </c>
      <c r="I87" s="468">
        <f t="shared" si="25"/>
        <v>0.81</v>
      </c>
      <c r="J87" s="223"/>
      <c r="K87" s="223"/>
      <c r="L87" s="223"/>
      <c r="M87" s="223"/>
      <c r="N87" s="273"/>
      <c r="O87" s="178"/>
      <c r="P87" s="223"/>
      <c r="Q87" s="454"/>
      <c r="S87" s="274"/>
      <c r="T87" s="274"/>
      <c r="U87" s="274"/>
      <c r="AJ87" s="454"/>
      <c r="AZ87" s="275"/>
      <c r="BJ87" s="225"/>
      <c r="BK87" s="225"/>
      <c r="BL87" s="225"/>
      <c r="BO87" s="178"/>
      <c r="BP87" s="225"/>
      <c r="BQ87" s="276"/>
      <c r="BR87" s="277"/>
      <c r="BS87" s="225"/>
      <c r="BT87" s="278"/>
      <c r="BX87" s="225"/>
      <c r="BY87" s="225"/>
      <c r="BZ87" s="178"/>
      <c r="CA87" s="178"/>
      <c r="CB87" s="178"/>
      <c r="CC87" s="178"/>
    </row>
    <row r="88" spans="6:81" x14ac:dyDescent="0.2">
      <c r="F88" s="331" t="s">
        <v>275</v>
      </c>
      <c r="G88" s="331" t="s">
        <v>276</v>
      </c>
      <c r="H88" s="176">
        <v>82</v>
      </c>
      <c r="I88" s="468">
        <f t="shared" si="25"/>
        <v>0.82</v>
      </c>
      <c r="J88" s="223"/>
      <c r="K88" s="223"/>
      <c r="L88" s="223"/>
      <c r="M88" s="223"/>
      <c r="N88" s="273"/>
      <c r="O88" s="178"/>
      <c r="P88" s="223"/>
      <c r="Q88" s="454"/>
      <c r="S88" s="274"/>
      <c r="T88" s="274"/>
      <c r="U88" s="274"/>
      <c r="AJ88" s="454"/>
      <c r="AZ88" s="275"/>
      <c r="BJ88" s="225"/>
      <c r="BK88" s="225"/>
      <c r="BL88" s="225"/>
      <c r="BO88" s="178"/>
      <c r="BP88" s="225"/>
      <c r="BQ88" s="276"/>
      <c r="BR88" s="277"/>
      <c r="BS88" s="225"/>
      <c r="BT88" s="278"/>
      <c r="BX88" s="225"/>
      <c r="BY88" s="225"/>
      <c r="BZ88" s="178"/>
      <c r="CA88" s="178"/>
      <c r="CB88" s="178"/>
      <c r="CC88" s="178"/>
    </row>
    <row r="89" spans="6:81" x14ac:dyDescent="0.2">
      <c r="F89" s="332">
        <f>BO51</f>
        <v>0</v>
      </c>
      <c r="G89" s="333">
        <f>I56*1000</f>
        <v>500</v>
      </c>
      <c r="H89" s="176">
        <v>83</v>
      </c>
      <c r="I89" s="468">
        <f t="shared" si="25"/>
        <v>0.83</v>
      </c>
      <c r="J89" s="223"/>
      <c r="K89" s="223"/>
      <c r="L89" s="223"/>
      <c r="M89" s="223"/>
      <c r="N89" s="273"/>
      <c r="O89" s="178"/>
      <c r="P89" s="223"/>
      <c r="Q89" s="454"/>
      <c r="S89" s="274"/>
      <c r="T89" s="274"/>
      <c r="U89" s="274"/>
      <c r="AJ89" s="454"/>
      <c r="AZ89" s="275"/>
      <c r="BJ89" s="225"/>
      <c r="BK89" s="225"/>
      <c r="BL89" s="225"/>
      <c r="BO89" s="178"/>
      <c r="BP89" s="225"/>
      <c r="BQ89" s="276"/>
      <c r="BR89" s="277"/>
      <c r="BS89" s="225"/>
      <c r="BT89" s="278"/>
      <c r="BX89" s="225"/>
      <c r="BY89" s="225"/>
      <c r="BZ89" s="178"/>
      <c r="CA89" s="178"/>
      <c r="CB89" s="178"/>
      <c r="CC89" s="178"/>
    </row>
    <row r="90" spans="6:81" x14ac:dyDescent="0.2">
      <c r="F90" s="332">
        <f>BO81</f>
        <v>0</v>
      </c>
      <c r="G90" s="333">
        <f>I81*1000</f>
        <v>750</v>
      </c>
      <c r="H90" s="176">
        <v>84</v>
      </c>
      <c r="I90" s="468">
        <f t="shared" si="25"/>
        <v>0.84</v>
      </c>
      <c r="J90" s="223"/>
      <c r="K90" s="223"/>
      <c r="L90" s="223"/>
      <c r="M90" s="223"/>
      <c r="N90" s="273"/>
      <c r="O90" s="178"/>
      <c r="P90" s="223"/>
      <c r="Q90" s="454"/>
      <c r="S90" s="274"/>
      <c r="T90" s="274"/>
      <c r="U90" s="274"/>
      <c r="AJ90" s="454"/>
      <c r="AZ90" s="275"/>
      <c r="BJ90" s="225"/>
      <c r="BK90" s="225"/>
      <c r="BL90" s="225"/>
      <c r="BO90" s="178"/>
      <c r="BP90" s="225"/>
      <c r="BQ90" s="276"/>
      <c r="BR90" s="277"/>
      <c r="BS90" s="225"/>
      <c r="BT90" s="278"/>
      <c r="BX90" s="225"/>
      <c r="BY90" s="225"/>
      <c r="BZ90" s="178"/>
      <c r="CA90" s="178"/>
      <c r="CB90" s="178"/>
      <c r="CC90" s="178"/>
    </row>
    <row r="91" spans="6:81" x14ac:dyDescent="0.2">
      <c r="F91" s="332">
        <f>BO106</f>
        <v>88.698181382326453</v>
      </c>
      <c r="G91" s="333">
        <f>I106*1000</f>
        <v>1000</v>
      </c>
      <c r="H91" s="176">
        <v>85</v>
      </c>
      <c r="I91" s="468">
        <f t="shared" si="25"/>
        <v>0.85</v>
      </c>
      <c r="J91" s="223"/>
      <c r="K91" s="223"/>
      <c r="L91" s="223"/>
      <c r="M91" s="223"/>
      <c r="N91" s="273"/>
      <c r="O91" s="178"/>
      <c r="P91" s="223"/>
      <c r="Q91" s="454"/>
      <c r="S91" s="274"/>
      <c r="T91" s="274"/>
      <c r="U91" s="274"/>
      <c r="AJ91" s="454"/>
      <c r="AZ91" s="275"/>
      <c r="BJ91" s="225"/>
      <c r="BK91" s="225"/>
      <c r="BL91" s="225"/>
      <c r="BO91" s="178"/>
      <c r="BP91" s="225"/>
      <c r="BQ91" s="276"/>
      <c r="BR91" s="277"/>
      <c r="BS91" s="225"/>
      <c r="BT91" s="278"/>
      <c r="BX91" s="225"/>
      <c r="BY91" s="225"/>
      <c r="BZ91" s="178"/>
      <c r="CA91" s="178"/>
      <c r="CB91" s="178"/>
      <c r="CC91" s="178"/>
    </row>
    <row r="92" spans="6:81" x14ac:dyDescent="0.2">
      <c r="H92" s="176">
        <v>86</v>
      </c>
      <c r="I92" s="468">
        <f t="shared" si="25"/>
        <v>0.86</v>
      </c>
      <c r="J92" s="223"/>
      <c r="K92" s="223"/>
      <c r="L92" s="223"/>
      <c r="M92" s="223"/>
      <c r="N92" s="273"/>
      <c r="O92" s="178"/>
      <c r="P92" s="223"/>
      <c r="Q92" s="454"/>
      <c r="S92" s="274"/>
      <c r="T92" s="274"/>
      <c r="U92" s="274"/>
      <c r="AJ92" s="454"/>
      <c r="AZ92" s="275"/>
      <c r="BJ92" s="225"/>
      <c r="BK92" s="225"/>
      <c r="BL92" s="225"/>
      <c r="BO92" s="178"/>
      <c r="BP92" s="225"/>
      <c r="BQ92" s="276"/>
      <c r="BR92" s="277"/>
      <c r="BS92" s="225"/>
      <c r="BT92" s="278"/>
      <c r="BX92" s="225"/>
      <c r="BY92" s="225"/>
      <c r="BZ92" s="178"/>
      <c r="CA92" s="178"/>
      <c r="CB92" s="178"/>
      <c r="CC92" s="178"/>
    </row>
    <row r="93" spans="6:81" x14ac:dyDescent="0.2">
      <c r="H93" s="176">
        <v>87</v>
      </c>
      <c r="I93" s="468">
        <f t="shared" si="25"/>
        <v>0.87</v>
      </c>
      <c r="J93" s="223"/>
      <c r="K93" s="223"/>
      <c r="L93" s="223"/>
      <c r="M93" s="223"/>
      <c r="N93" s="273"/>
      <c r="O93" s="178"/>
      <c r="P93" s="223"/>
      <c r="Q93" s="454"/>
      <c r="S93" s="274"/>
      <c r="T93" s="274"/>
      <c r="U93" s="274"/>
      <c r="AJ93" s="454"/>
      <c r="AZ93" s="275"/>
      <c r="BJ93" s="225"/>
      <c r="BK93" s="225"/>
      <c r="BL93" s="225"/>
      <c r="BO93" s="178"/>
      <c r="BP93" s="225"/>
      <c r="BQ93" s="276"/>
      <c r="BR93" s="277"/>
      <c r="BS93" s="225"/>
      <c r="BT93" s="278"/>
      <c r="BX93" s="225"/>
      <c r="BY93" s="225"/>
      <c r="BZ93" s="178"/>
      <c r="CA93" s="178"/>
      <c r="CB93" s="178"/>
      <c r="CC93" s="178"/>
    </row>
    <row r="94" spans="6:81" x14ac:dyDescent="0.2">
      <c r="H94" s="176">
        <v>88</v>
      </c>
      <c r="I94" s="468">
        <f t="shared" si="25"/>
        <v>0.88</v>
      </c>
      <c r="J94" s="223"/>
      <c r="K94" s="223"/>
      <c r="L94" s="223"/>
      <c r="M94" s="223"/>
      <c r="N94" s="273"/>
      <c r="O94" s="178"/>
      <c r="P94" s="223"/>
      <c r="Q94" s="454"/>
      <c r="S94" s="274"/>
      <c r="T94" s="274"/>
      <c r="U94" s="274"/>
      <c r="AJ94" s="454"/>
      <c r="AZ94" s="275"/>
      <c r="BJ94" s="225"/>
      <c r="BK94" s="225"/>
      <c r="BL94" s="225"/>
      <c r="BO94" s="178"/>
      <c r="BP94" s="225"/>
      <c r="BQ94" s="276"/>
      <c r="BR94" s="277"/>
      <c r="BS94" s="225"/>
      <c r="BT94" s="278"/>
      <c r="BX94" s="225"/>
      <c r="BY94" s="225"/>
      <c r="BZ94" s="178"/>
      <c r="CA94" s="178"/>
      <c r="CB94" s="178"/>
      <c r="CC94" s="178"/>
    </row>
    <row r="95" spans="6:81" x14ac:dyDescent="0.2">
      <c r="H95" s="176">
        <v>89</v>
      </c>
      <c r="I95" s="468">
        <f t="shared" si="25"/>
        <v>0.89</v>
      </c>
      <c r="J95" s="223"/>
      <c r="K95" s="223"/>
      <c r="L95" s="223"/>
      <c r="M95" s="223"/>
      <c r="N95" s="273"/>
      <c r="O95" s="178"/>
      <c r="P95" s="223"/>
      <c r="Q95" s="454"/>
      <c r="S95" s="274"/>
      <c r="T95" s="274"/>
      <c r="U95" s="274"/>
      <c r="AJ95" s="454"/>
      <c r="AZ95" s="275"/>
      <c r="BJ95" s="225"/>
      <c r="BK95" s="225"/>
      <c r="BL95" s="225"/>
      <c r="BO95" s="178"/>
      <c r="BP95" s="225"/>
      <c r="BQ95" s="276"/>
      <c r="BR95" s="277"/>
      <c r="BS95" s="225"/>
      <c r="BT95" s="278"/>
      <c r="BX95" s="225"/>
      <c r="BY95" s="225"/>
      <c r="BZ95" s="178"/>
      <c r="CA95" s="178"/>
      <c r="CB95" s="178"/>
      <c r="CC95" s="178"/>
    </row>
    <row r="96" spans="6:81" x14ac:dyDescent="0.2">
      <c r="H96" s="176">
        <v>90</v>
      </c>
      <c r="I96" s="468">
        <f t="shared" si="25"/>
        <v>0.9</v>
      </c>
      <c r="J96" s="223"/>
      <c r="K96" s="223"/>
      <c r="L96" s="223"/>
      <c r="M96" s="223"/>
      <c r="N96" s="273"/>
      <c r="O96" s="178"/>
      <c r="P96" s="223"/>
      <c r="Q96" s="454"/>
      <c r="S96" s="274"/>
      <c r="T96" s="274"/>
      <c r="U96" s="274"/>
      <c r="AJ96" s="454"/>
      <c r="AZ96" s="275"/>
      <c r="BJ96" s="225"/>
      <c r="BK96" s="225"/>
      <c r="BL96" s="225"/>
      <c r="BO96" s="178"/>
      <c r="BP96" s="225"/>
      <c r="BQ96" s="276"/>
      <c r="BR96" s="277"/>
      <c r="BS96" s="225"/>
      <c r="BT96" s="278"/>
      <c r="BX96" s="225"/>
      <c r="BY96" s="225"/>
      <c r="BZ96" s="178"/>
      <c r="CA96" s="178"/>
      <c r="CB96" s="178"/>
      <c r="CC96" s="178"/>
    </row>
    <row r="97" spans="8:81" x14ac:dyDescent="0.2">
      <c r="H97" s="176">
        <v>91</v>
      </c>
      <c r="I97" s="468">
        <f t="shared" si="25"/>
        <v>0.91</v>
      </c>
      <c r="J97" s="223"/>
      <c r="K97" s="223"/>
      <c r="L97" s="223"/>
      <c r="M97" s="223"/>
      <c r="N97" s="273"/>
      <c r="O97" s="178"/>
      <c r="P97" s="223"/>
      <c r="Q97" s="454"/>
      <c r="S97" s="274"/>
      <c r="T97" s="274"/>
      <c r="U97" s="274"/>
      <c r="AJ97" s="454"/>
      <c r="AZ97" s="275"/>
      <c r="BJ97" s="225"/>
      <c r="BK97" s="225"/>
      <c r="BL97" s="225"/>
      <c r="BO97" s="178"/>
      <c r="BP97" s="225"/>
      <c r="BQ97" s="276"/>
      <c r="BR97" s="277"/>
      <c r="BS97" s="225"/>
      <c r="BT97" s="278"/>
      <c r="BX97" s="225"/>
      <c r="BY97" s="225"/>
      <c r="BZ97" s="178"/>
      <c r="CA97" s="178"/>
      <c r="CB97" s="178"/>
      <c r="CC97" s="178"/>
    </row>
    <row r="98" spans="8:81" x14ac:dyDescent="0.2">
      <c r="H98" s="176">
        <v>92</v>
      </c>
      <c r="I98" s="468">
        <f t="shared" si="25"/>
        <v>0.92</v>
      </c>
      <c r="J98" s="223"/>
      <c r="K98" s="223"/>
      <c r="L98" s="223"/>
      <c r="M98" s="223"/>
      <c r="N98" s="273"/>
      <c r="O98" s="178"/>
      <c r="P98" s="223"/>
      <c r="Q98" s="454"/>
      <c r="S98" s="274"/>
      <c r="T98" s="274"/>
      <c r="U98" s="274"/>
      <c r="AJ98" s="454"/>
      <c r="AZ98" s="275"/>
      <c r="BJ98" s="225"/>
      <c r="BK98" s="225"/>
      <c r="BL98" s="225"/>
      <c r="BO98" s="178"/>
      <c r="BP98" s="225"/>
      <c r="BQ98" s="276"/>
      <c r="BR98" s="277"/>
      <c r="BS98" s="225"/>
      <c r="BT98" s="278"/>
      <c r="BX98" s="225"/>
      <c r="BY98" s="225"/>
      <c r="BZ98" s="178"/>
      <c r="CA98" s="178"/>
      <c r="CB98" s="178"/>
      <c r="CC98" s="178"/>
    </row>
    <row r="99" spans="8:81" x14ac:dyDescent="0.2">
      <c r="H99" s="176">
        <v>93</v>
      </c>
      <c r="I99" s="468">
        <f t="shared" si="25"/>
        <v>0.93</v>
      </c>
      <c r="J99" s="223"/>
      <c r="K99" s="223"/>
      <c r="L99" s="223"/>
      <c r="M99" s="223"/>
      <c r="N99" s="273"/>
      <c r="O99" s="178"/>
      <c r="P99" s="223"/>
      <c r="Q99" s="454"/>
      <c r="S99" s="274"/>
      <c r="T99" s="274"/>
      <c r="U99" s="274"/>
      <c r="AJ99" s="454"/>
      <c r="AZ99" s="275"/>
      <c r="BJ99" s="225"/>
      <c r="BK99" s="225"/>
      <c r="BL99" s="225"/>
      <c r="BO99" s="178"/>
      <c r="BP99" s="225"/>
      <c r="BQ99" s="276"/>
      <c r="BR99" s="277"/>
      <c r="BS99" s="225"/>
      <c r="BT99" s="278"/>
      <c r="BX99" s="225"/>
      <c r="BY99" s="225"/>
      <c r="BZ99" s="178"/>
      <c r="CA99" s="178"/>
      <c r="CB99" s="178"/>
      <c r="CC99" s="178"/>
    </row>
    <row r="100" spans="8:81" x14ac:dyDescent="0.2">
      <c r="H100" s="176">
        <v>94</v>
      </c>
      <c r="I100" s="468">
        <f t="shared" si="25"/>
        <v>0.94</v>
      </c>
      <c r="J100" s="223"/>
      <c r="K100" s="223"/>
      <c r="L100" s="223"/>
      <c r="M100" s="223"/>
      <c r="N100" s="273"/>
      <c r="O100" s="178"/>
      <c r="P100" s="223"/>
      <c r="Q100" s="454"/>
      <c r="S100" s="274"/>
      <c r="T100" s="274"/>
      <c r="U100" s="274"/>
      <c r="AJ100" s="454"/>
      <c r="AZ100" s="275"/>
      <c r="BJ100" s="225"/>
      <c r="BK100" s="225"/>
      <c r="BL100" s="225"/>
      <c r="BO100" s="178"/>
      <c r="BP100" s="225"/>
      <c r="BQ100" s="276"/>
      <c r="BR100" s="277"/>
      <c r="BS100" s="225"/>
      <c r="BT100" s="278"/>
      <c r="BX100" s="225"/>
      <c r="BY100" s="225"/>
      <c r="BZ100" s="178"/>
      <c r="CA100" s="178"/>
      <c r="CB100" s="178"/>
      <c r="CC100" s="178"/>
    </row>
    <row r="101" spans="8:81" x14ac:dyDescent="0.2">
      <c r="H101" s="176">
        <v>95</v>
      </c>
      <c r="I101" s="468">
        <f t="shared" si="25"/>
        <v>0.95</v>
      </c>
      <c r="J101" s="223"/>
      <c r="K101" s="223"/>
      <c r="L101" s="223"/>
      <c r="M101" s="223"/>
      <c r="N101" s="273"/>
      <c r="O101" s="178"/>
      <c r="P101" s="223"/>
      <c r="Q101" s="454"/>
      <c r="S101" s="274"/>
      <c r="T101" s="274"/>
      <c r="U101" s="274"/>
      <c r="AJ101" s="454"/>
      <c r="AZ101" s="275"/>
      <c r="BJ101" s="225"/>
      <c r="BK101" s="225"/>
      <c r="BL101" s="225"/>
      <c r="BO101" s="178"/>
      <c r="BP101" s="225"/>
      <c r="BQ101" s="276"/>
      <c r="BR101" s="277"/>
      <c r="BS101" s="225"/>
      <c r="BT101" s="278"/>
      <c r="BX101" s="225"/>
      <c r="BY101" s="225"/>
      <c r="BZ101" s="178"/>
      <c r="CA101" s="178"/>
      <c r="CB101" s="178"/>
      <c r="CC101" s="178"/>
    </row>
    <row r="102" spans="8:81" x14ac:dyDescent="0.2">
      <c r="H102" s="176">
        <v>96</v>
      </c>
      <c r="I102" s="468">
        <f t="shared" ref="I102:I106" si="26">IF(PLOT_TYPE=1, H102/100*Iout_max, min_I*EXP(H102*rr/100))</f>
        <v>0.96</v>
      </c>
      <c r="J102" s="223"/>
      <c r="K102" s="223"/>
      <c r="L102" s="223"/>
      <c r="M102" s="223"/>
      <c r="N102" s="273"/>
      <c r="O102" s="178"/>
      <c r="P102" s="223"/>
      <c r="Q102" s="454"/>
      <c r="S102" s="274"/>
      <c r="T102" s="274"/>
      <c r="U102" s="274"/>
      <c r="AJ102" s="454"/>
      <c r="AZ102" s="275"/>
      <c r="BJ102" s="225"/>
      <c r="BK102" s="225"/>
      <c r="BL102" s="225"/>
      <c r="BO102" s="178"/>
      <c r="BP102" s="225"/>
      <c r="BQ102" s="276"/>
      <c r="BR102" s="277"/>
      <c r="BS102" s="225"/>
      <c r="BT102" s="278"/>
      <c r="BX102" s="225"/>
      <c r="BY102" s="225"/>
      <c r="BZ102" s="178"/>
      <c r="CA102" s="178"/>
      <c r="CB102" s="178"/>
      <c r="CC102" s="178"/>
    </row>
    <row r="103" spans="8:81" x14ac:dyDescent="0.2">
      <c r="H103" s="176">
        <v>97</v>
      </c>
      <c r="I103" s="468">
        <f t="shared" si="26"/>
        <v>0.97</v>
      </c>
      <c r="J103" s="223"/>
      <c r="K103" s="223"/>
      <c r="L103" s="223"/>
      <c r="M103" s="223"/>
      <c r="N103" s="273"/>
      <c r="O103" s="178"/>
      <c r="P103" s="223"/>
      <c r="Q103" s="454"/>
      <c r="S103" s="274"/>
      <c r="T103" s="274"/>
      <c r="U103" s="274"/>
      <c r="AJ103" s="454"/>
      <c r="AZ103" s="275"/>
      <c r="BJ103" s="225"/>
      <c r="BK103" s="225"/>
      <c r="BL103" s="225"/>
      <c r="BO103" s="178"/>
      <c r="BP103" s="225"/>
      <c r="BQ103" s="276"/>
      <c r="BR103" s="277"/>
      <c r="BS103" s="225"/>
      <c r="BT103" s="278"/>
      <c r="BX103" s="225"/>
      <c r="BY103" s="225"/>
      <c r="BZ103" s="178"/>
      <c r="CA103" s="178"/>
      <c r="CB103" s="178"/>
      <c r="CC103" s="178"/>
    </row>
    <row r="104" spans="8:81" x14ac:dyDescent="0.2">
      <c r="H104" s="176">
        <v>98</v>
      </c>
      <c r="I104" s="468">
        <f t="shared" si="26"/>
        <v>0.98</v>
      </c>
      <c r="J104" s="223"/>
      <c r="K104" s="223"/>
      <c r="L104" s="223"/>
      <c r="M104" s="223"/>
      <c r="N104" s="273"/>
      <c r="O104" s="178"/>
      <c r="P104" s="223"/>
      <c r="Q104" s="454"/>
      <c r="S104" s="274"/>
      <c r="T104" s="274"/>
      <c r="U104" s="274"/>
      <c r="AJ104" s="454"/>
      <c r="AZ104" s="275"/>
      <c r="BJ104" s="225"/>
      <c r="BK104" s="225"/>
      <c r="BL104" s="225"/>
      <c r="BO104" s="178"/>
      <c r="BP104" s="225"/>
      <c r="BQ104" s="276"/>
      <c r="BR104" s="277"/>
      <c r="BS104" s="225"/>
      <c r="BT104" s="278"/>
      <c r="BX104" s="225"/>
      <c r="BY104" s="225"/>
      <c r="BZ104" s="178"/>
      <c r="CA104" s="178"/>
      <c r="CB104" s="178"/>
      <c r="CC104" s="178"/>
    </row>
    <row r="105" spans="8:81" x14ac:dyDescent="0.2">
      <c r="H105" s="176">
        <v>99</v>
      </c>
      <c r="I105" s="468">
        <f t="shared" si="26"/>
        <v>0.99</v>
      </c>
      <c r="J105" s="223"/>
      <c r="K105" s="223"/>
      <c r="L105" s="223"/>
      <c r="M105" s="223"/>
      <c r="N105" s="273"/>
      <c r="O105" s="178"/>
      <c r="P105" s="223"/>
      <c r="Q105" s="454"/>
      <c r="S105" s="274"/>
      <c r="T105" s="274"/>
      <c r="U105" s="274"/>
      <c r="AJ105" s="454"/>
      <c r="AZ105" s="275"/>
      <c r="BJ105" s="225"/>
      <c r="BK105" s="225"/>
      <c r="BL105" s="225"/>
      <c r="BO105" s="178"/>
      <c r="BP105" s="225"/>
      <c r="BQ105" s="276"/>
      <c r="BR105" s="277"/>
      <c r="BS105" s="225"/>
      <c r="BT105" s="278"/>
      <c r="BX105" s="225"/>
      <c r="BY105" s="225"/>
      <c r="BZ105" s="178"/>
      <c r="CA105" s="178"/>
      <c r="CB105" s="178"/>
      <c r="CC105" s="178"/>
    </row>
    <row r="106" spans="8:81" x14ac:dyDescent="0.2">
      <c r="H106" s="176">
        <v>100</v>
      </c>
      <c r="I106" s="468">
        <f t="shared" si="26"/>
        <v>1</v>
      </c>
      <c r="J106" s="223"/>
      <c r="K106" s="223"/>
      <c r="L106" s="223"/>
      <c r="M106" s="223"/>
      <c r="N106" s="273"/>
      <c r="O106" s="178"/>
      <c r="P106" s="223"/>
      <c r="Q106" s="454"/>
      <c r="S106" s="274"/>
      <c r="T106" s="274"/>
      <c r="U106" s="274"/>
      <c r="AJ106" s="454"/>
      <c r="AY106" s="222">
        <f>Vout*I106</f>
        <v>5</v>
      </c>
      <c r="AZ106" s="275">
        <f t="shared" ref="AZ106" si="27">AY106/(AY106+AX106)</f>
        <v>1</v>
      </c>
      <c r="BA106" s="351">
        <f t="shared" ref="BA106" si="28">AG106/($AY106+$AX106)</f>
        <v>0</v>
      </c>
      <c r="BB106" s="351">
        <f t="shared" ref="BB106" si="29">AO106/($AY106+$AX106)</f>
        <v>0</v>
      </c>
      <c r="BC106" s="351" t="e">
        <f t="shared" ref="BC106" si="30">Vin*R106*(QgBot+Qg)/($AY106+$AX106)</f>
        <v>#NAME?</v>
      </c>
      <c r="BD106" s="351">
        <f t="shared" ref="BD106" si="31">AK106/($AY106+$AX106)</f>
        <v>0</v>
      </c>
      <c r="BE106" s="351">
        <f t="shared" ref="BE106" si="32">AQ106/(AX106+AY106)</f>
        <v>0</v>
      </c>
      <c r="BF106" s="351">
        <f t="shared" ref="BF106" si="33">AR106/($AY106+$AX106)</f>
        <v>0</v>
      </c>
      <c r="BG106" s="351">
        <f t="shared" ref="BG106" si="34">W106/($AY106+$AX106)</f>
        <v>0</v>
      </c>
      <c r="BH106" s="351">
        <f t="shared" ref="BH106" si="35">X106/($AY106+$AX106)</f>
        <v>0</v>
      </c>
      <c r="BI106" s="351">
        <f t="shared" ref="BI106" si="36">(AB106+AE106)/($AY106+$AX106)</f>
        <v>0</v>
      </c>
      <c r="BJ106" s="225">
        <f t="shared" ref="BJ106" si="37">AT106/($AY106+$AX106)</f>
        <v>0</v>
      </c>
      <c r="BK106" s="225">
        <f t="shared" ref="BK106" si="38">AX106/($AY106+$AX106)</f>
        <v>0</v>
      </c>
      <c r="BL106" s="225">
        <f t="shared" ref="BL106" si="39">AZ106</f>
        <v>1</v>
      </c>
      <c r="BM106" s="178">
        <f t="shared" ref="BM106" si="40">100*BL106</f>
        <v>100</v>
      </c>
      <c r="BN106" s="223">
        <f xml:space="preserve"> CHOOSE(MODE, I106*1000,#REF!)</f>
        <v>1000</v>
      </c>
      <c r="BO106" s="178">
        <v>88.698181382326453</v>
      </c>
      <c r="BP106" s="225">
        <f t="shared" ref="BP106" si="41">BO106/100</f>
        <v>0.88698181382326458</v>
      </c>
      <c r="BQ106" s="276">
        <f t="shared" ref="BQ106" si="42">R106/1000</f>
        <v>0</v>
      </c>
      <c r="BR106" s="277"/>
      <c r="BS106" s="225">
        <f t="shared" ref="BS106" si="43">AL106/($AY106+$AX106)</f>
        <v>0</v>
      </c>
      <c r="BT106" s="278"/>
      <c r="BU106" s="178">
        <f t="shared" ref="BU106" si="44">1000*AW106</f>
        <v>0</v>
      </c>
      <c r="BV106" s="178">
        <f t="shared" ref="BV106" si="45">1000*AU106</f>
        <v>0</v>
      </c>
      <c r="BW106" s="178">
        <f t="shared" ref="BW106" si="46">1000*Y106</f>
        <v>0</v>
      </c>
      <c r="BX106" s="225"/>
      <c r="BY106" s="225"/>
      <c r="BZ106" s="178">
        <f xml:space="preserve"> IF(MODE=1, BM106,#REF!)</f>
        <v>100</v>
      </c>
      <c r="CA106" s="178">
        <f xml:space="preserve"> IF(MODE=1, BU106,#REF!)</f>
        <v>0</v>
      </c>
      <c r="CB106" s="178">
        <f xml:space="preserve"> IF(MODE=1, BV106,#REF!)</f>
        <v>0</v>
      </c>
      <c r="CC106" s="178">
        <f xml:space="preserve"> IF(MODE=1, BW106,#REF!)</f>
        <v>0</v>
      </c>
    </row>
    <row r="107" spans="8:81" x14ac:dyDescent="0.2">
      <c r="BQ107" s="276"/>
      <c r="BR107" s="277"/>
      <c r="BS107" s="277"/>
      <c r="BT107" s="278"/>
      <c r="BX107" s="225"/>
      <c r="BY107" s="225"/>
    </row>
    <row r="108" spans="8:81" x14ac:dyDescent="0.2">
      <c r="H108" s="334">
        <v>1.0000000000000001E-5</v>
      </c>
      <c r="I108" s="335" t="s">
        <v>1</v>
      </c>
      <c r="J108" s="336" t="s">
        <v>277</v>
      </c>
      <c r="AG108" s="222">
        <v>4.9516878778202269E-3</v>
      </c>
      <c r="AH108" s="222">
        <v>3.7188236700537959E-3</v>
      </c>
      <c r="AI108">
        <v>20</v>
      </c>
      <c r="AJ108" s="222">
        <v>18.943591787921068</v>
      </c>
      <c r="AK108" s="222">
        <v>4.1453367485397245E-3</v>
      </c>
      <c r="AL108" s="222">
        <v>7.1640215182307235E-3</v>
      </c>
      <c r="AN108" s="222">
        <v>9.1940431932401354E-2</v>
      </c>
      <c r="AO108" s="222">
        <v>8.4530430239165271E-3</v>
      </c>
      <c r="AP108" s="222">
        <v>9.3281530185295868E-4</v>
      </c>
      <c r="AQ108" s="222">
        <v>9.1178757202630047E-3</v>
      </c>
      <c r="AR108" s="222">
        <v>1.2140752334887425E-3</v>
      </c>
      <c r="AS108" s="222">
        <v>1.8784993977668273E-2</v>
      </c>
      <c r="AZ108" s="338" t="s">
        <v>281</v>
      </c>
      <c r="BA108" s="358">
        <v>3.6409104085968987E-3</v>
      </c>
      <c r="BB108" s="358">
        <v>6.5692245841190103E-3</v>
      </c>
      <c r="BC108" s="358">
        <v>5.4394694205683519E-2</v>
      </c>
      <c r="BD108" s="358">
        <v>4.5907837520612008E-3</v>
      </c>
      <c r="BE108" s="358">
        <v>0</v>
      </c>
      <c r="BF108" s="358">
        <v>7.3751579484765363E-4</v>
      </c>
      <c r="BG108" s="358">
        <v>7.2151246180390156E-3</v>
      </c>
      <c r="BH108" s="358">
        <v>1.4929120352630757E-2</v>
      </c>
      <c r="BI108" s="358">
        <v>5.5024434421027814E-6</v>
      </c>
      <c r="BJ108" s="358">
        <v>8.2551506228875166E-2</v>
      </c>
    </row>
    <row r="109" spans="8:81" x14ac:dyDescent="0.2">
      <c r="H109" s="337">
        <f>Iout_max</f>
        <v>1</v>
      </c>
      <c r="I109" s="335" t="s">
        <v>1</v>
      </c>
      <c r="J109" s="336" t="s">
        <v>278</v>
      </c>
      <c r="AZ109" s="338" t="s">
        <v>279</v>
      </c>
      <c r="BA109" s="358">
        <v>8.1000709018000279E-3</v>
      </c>
      <c r="BB109" s="358">
        <v>1.4614802049391215E-2</v>
      </c>
      <c r="BC109" s="358">
        <v>2.4831534664325892E-2</v>
      </c>
      <c r="BD109" s="358">
        <v>9.9057039827182662E-3</v>
      </c>
      <c r="BE109" s="358">
        <v>1.1631608311305648E-2</v>
      </c>
      <c r="BF109" s="358">
        <v>1.6465542803473395E-3</v>
      </c>
      <c r="BG109" s="358">
        <v>1.6051760250250457E-2</v>
      </c>
      <c r="BH109" s="358">
        <v>6.8152413568584669E-3</v>
      </c>
      <c r="BI109" s="358">
        <v>1.7517781122613987E-5</v>
      </c>
      <c r="BJ109" s="358">
        <v>1.2837829865088564E-2</v>
      </c>
    </row>
    <row r="110" spans="8:81" x14ac:dyDescent="0.2">
      <c r="H110" s="337">
        <f>LOG(max_I/min_I,EXP(1))</f>
        <v>11.512925464970229</v>
      </c>
      <c r="I110" s="223"/>
      <c r="J110" s="336" t="s">
        <v>280</v>
      </c>
    </row>
    <row r="111" spans="8:81" x14ac:dyDescent="0.2">
      <c r="AZ111" s="338"/>
      <c r="BA111" s="358"/>
      <c r="BB111" s="358"/>
      <c r="BC111" s="358"/>
      <c r="BD111" s="358"/>
      <c r="BE111" s="358"/>
      <c r="BF111" s="358"/>
      <c r="BG111" s="358"/>
      <c r="BH111" s="358"/>
      <c r="BI111" s="358"/>
      <c r="BJ111" s="358"/>
    </row>
    <row r="112" spans="8:81" x14ac:dyDescent="0.2">
      <c r="J112" s="340"/>
      <c r="R112" s="341"/>
      <c r="S112" s="341"/>
      <c r="T112" s="341"/>
      <c r="U112" s="341"/>
      <c r="V112" s="342"/>
    </row>
    <row r="113" spans="10:22" x14ac:dyDescent="0.2">
      <c r="J113" s="340"/>
      <c r="R113" s="341"/>
      <c r="S113" s="341"/>
      <c r="T113" s="341"/>
      <c r="U113" s="341"/>
      <c r="V113" s="342"/>
    </row>
    <row r="114" spans="10:22" x14ac:dyDescent="0.2">
      <c r="R114" s="343"/>
      <c r="S114" s="343"/>
      <c r="T114" s="343"/>
      <c r="U114" s="343"/>
      <c r="V114" s="342"/>
    </row>
    <row r="116" spans="10:22" x14ac:dyDescent="0.2">
      <c r="R116" s="343"/>
      <c r="S116" s="343"/>
      <c r="T116" s="343"/>
      <c r="U116" s="343"/>
      <c r="V116" s="342"/>
    </row>
    <row r="121" spans="10:22" x14ac:dyDescent="0.2">
      <c r="V121" s="336"/>
    </row>
    <row r="122" spans="10:22" x14ac:dyDescent="0.2">
      <c r="O122" s="336"/>
      <c r="P122" s="336"/>
      <c r="Q122" s="336"/>
    </row>
    <row r="123" spans="10:22" x14ac:dyDescent="0.2">
      <c r="O123" s="336"/>
      <c r="P123" s="336"/>
      <c r="Q123" s="336"/>
    </row>
    <row r="124" spans="10:22" x14ac:dyDescent="0.2">
      <c r="O124" s="336"/>
      <c r="P124" s="336"/>
      <c r="Q124" s="336"/>
    </row>
    <row r="125" spans="10:22" x14ac:dyDescent="0.2">
      <c r="O125" s="336"/>
      <c r="P125" s="336"/>
      <c r="Q125" s="336"/>
    </row>
    <row r="126" spans="10:22" x14ac:dyDescent="0.2">
      <c r="J126" s="344"/>
      <c r="O126" s="336"/>
      <c r="P126" s="336"/>
      <c r="Q126" s="336"/>
    </row>
    <row r="127" spans="10:22" x14ac:dyDescent="0.2">
      <c r="J127" s="344"/>
      <c r="O127" s="336"/>
      <c r="P127" s="336"/>
      <c r="Q127" s="336"/>
    </row>
    <row r="128" spans="10:22" x14ac:dyDescent="0.2">
      <c r="J128" s="344"/>
      <c r="O128" s="336"/>
      <c r="P128" s="336"/>
      <c r="Q128" s="336"/>
    </row>
    <row r="129" spans="10:17" x14ac:dyDescent="0.2">
      <c r="J129" s="335"/>
      <c r="O129" s="336"/>
      <c r="P129" s="336"/>
      <c r="Q129" s="336"/>
    </row>
    <row r="130" spans="10:17" x14ac:dyDescent="0.2">
      <c r="J130" s="335"/>
    </row>
    <row r="131" spans="10:17" x14ac:dyDescent="0.2">
      <c r="J131" s="335"/>
    </row>
    <row r="132" spans="10:17" x14ac:dyDescent="0.2">
      <c r="J132" s="335"/>
    </row>
    <row r="133" spans="10:17" x14ac:dyDescent="0.2">
      <c r="J133" s="335"/>
    </row>
  </sheetData>
  <mergeCells count="4">
    <mergeCell ref="A1:E3"/>
    <mergeCell ref="G2:H2"/>
    <mergeCell ref="A4:E4"/>
    <mergeCell ref="K4:U4"/>
  </mergeCells>
  <conditionalFormatting sqref="B26:B28">
    <cfRule type="cellIs" dxfId="9" priority="8" stopIfTrue="1" operator="notEqual">
      <formula>G28</formula>
    </cfRule>
  </conditionalFormatting>
  <conditionalFormatting sqref="B30:B33 B37:B38">
    <cfRule type="cellIs" dxfId="8" priority="6" stopIfTrue="1" operator="notEqual">
      <formula>G36</formula>
    </cfRule>
  </conditionalFormatting>
  <conditionalFormatting sqref="B35:B36">
    <cfRule type="cellIs" dxfId="7" priority="5" stopIfTrue="1" operator="notEqual">
      <formula>G42</formula>
    </cfRule>
  </conditionalFormatting>
  <conditionalFormatting sqref="B40">
    <cfRule type="cellIs" dxfId="6" priority="4" stopIfTrue="1" operator="notEqual">
      <formula>G53</formula>
    </cfRule>
  </conditionalFormatting>
  <conditionalFormatting sqref="B49:B52">
    <cfRule type="cellIs" dxfId="5" priority="9" stopIfTrue="1" operator="notEqual">
      <formula>G70</formula>
    </cfRule>
  </conditionalFormatting>
  <conditionalFormatting sqref="B47:B48">
    <cfRule type="cellIs" dxfId="4" priority="12" stopIfTrue="1" operator="notEqual">
      <formula>G68</formula>
    </cfRule>
  </conditionalFormatting>
  <conditionalFormatting sqref="B42:B44">
    <cfRule type="cellIs" dxfId="3" priority="13" stopIfTrue="1" operator="notEqual">
      <formula>G54</formula>
    </cfRule>
  </conditionalFormatting>
  <conditionalFormatting sqref="B45">
    <cfRule type="cellIs" dxfId="2" priority="2" stopIfTrue="1" operator="notEqual">
      <formula>G66</formula>
    </cfRule>
  </conditionalFormatting>
  <conditionalFormatting sqref="B29">
    <cfRule type="cellIs" dxfId="1" priority="145" stopIfTrue="1" operator="notEqual">
      <formula>G30</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unlockedFormula="1"/>
    <ignoredError sqref="D11"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180975</xdr:colOff>
                <xdr:row>111</xdr:row>
                <xdr:rowOff>142875</xdr:rowOff>
              </from>
              <to>
                <xdr:col>36</xdr:col>
                <xdr:colOff>9525</xdr:colOff>
                <xdr:row>125</xdr:row>
                <xdr:rowOff>142875</xdr:rowOff>
              </to>
            </anchor>
          </objectPr>
        </oleObject>
      </mc:Choice>
      <mc:Fallback>
        <oleObject progId="Visio.Drawing.11" shapeId="6830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2:B7"/>
  <sheetViews>
    <sheetView zoomScaleNormal="100" workbookViewId="0">
      <selection activeCell="H7" sqref="H7"/>
    </sheetView>
  </sheetViews>
  <sheetFormatPr defaultRowHeight="12.75" x14ac:dyDescent="0.2"/>
  <cols>
    <col min="2" max="2" width="126.42578125" customWidth="1"/>
  </cols>
  <sheetData>
    <row r="2" spans="1:2" ht="17.25" customHeight="1" x14ac:dyDescent="0.2">
      <c r="A2" s="78" t="str">
        <f>CHOOSE(MODE, "EFF_SINGLE", "EFF_DUAL")</f>
        <v>EFF_SINGLE</v>
      </c>
    </row>
    <row r="5" spans="1:2" ht="409.5" customHeight="1" x14ac:dyDescent="0.2">
      <c r="B5" s="366"/>
    </row>
    <row r="6" spans="1:2" ht="17.100000000000001" customHeight="1" x14ac:dyDescent="0.2"/>
    <row r="7" spans="1:2" ht="409.5" customHeight="1" x14ac:dyDescent="0.2">
      <c r="B7" s="366"/>
    </row>
  </sheetData>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163</vt:i4>
      </vt:variant>
    </vt:vector>
  </HeadingPairs>
  <TitlesOfParts>
    <vt:vector size="175" baseType="lpstr">
      <vt:lpstr>Design Converter</vt:lpstr>
      <vt:lpstr>BOM &amp; Schematic</vt:lpstr>
      <vt:lpstr>EVMs</vt:lpstr>
      <vt:lpstr>Variable Mgmt</vt:lpstr>
      <vt:lpstr>Calculations - Single</vt:lpstr>
      <vt:lpstr>Calculations - Dual</vt:lpstr>
      <vt:lpstr>Fsw vs VIN</vt:lpstr>
      <vt:lpstr>Parameters</vt:lpstr>
      <vt:lpstr>Efficiency Plots</vt:lpstr>
      <vt:lpstr>Fsw Plots</vt:lpstr>
      <vt:lpstr>Schematic Mgmt</vt:lpstr>
      <vt:lpstr>Standard Value Calculator</vt:lpstr>
      <vt:lpstr>_Don1</vt:lpstr>
      <vt:lpstr>BDserR</vt:lpstr>
      <vt:lpstr>Cb</vt:lpstr>
      <vt:lpstr>Parameters!Cin</vt:lpstr>
      <vt:lpstr>Cin</vt:lpstr>
      <vt:lpstr>CinEsrMax</vt:lpstr>
      <vt:lpstr>Cinmin</vt:lpstr>
      <vt:lpstr>CONFIG</vt:lpstr>
      <vt:lpstr>Coss</vt:lpstr>
      <vt:lpstr>Parameters!Cout</vt:lpstr>
      <vt:lpstr>Cout</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Parameters!Fsw</vt:lpstr>
      <vt:lpstr>Fsw_DCM</vt:lpstr>
      <vt:lpstr>Fsw_DUAL</vt:lpstr>
      <vt:lpstr>Fsw_max</vt:lpstr>
      <vt:lpstr>Fsw_SINGLE</vt:lpstr>
      <vt:lpstr>Icinrms</vt:lpstr>
      <vt:lpstr>Icoutrms</vt:lpstr>
      <vt:lpstr>Iin_Vinmax</vt:lpstr>
      <vt:lpstr>Iin_Vinmin</vt:lpstr>
      <vt:lpstr>Iin_Vinnom</vt:lpstr>
      <vt:lpstr>Iout</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IQ</vt:lpstr>
      <vt:lpstr>Iripple</vt:lpstr>
      <vt:lpstr>Iss</vt:lpstr>
      <vt:lpstr>Isw_max</vt:lpstr>
      <vt:lpstr>Isw_min</vt:lpstr>
      <vt:lpstr>Iuvlo_hys</vt:lpstr>
      <vt:lpstr>Iuvlo1</vt:lpstr>
      <vt:lpstr>Iuvlo2</vt:lpstr>
      <vt:lpstr>k_core</vt:lpstr>
      <vt:lpstr>L</vt:lpstr>
      <vt:lpstr>Lf</vt:lpstr>
      <vt:lpstr>Lleak</vt:lpstr>
      <vt:lpstr>Lmin</vt:lpstr>
      <vt:lpstr>Ltc</vt:lpstr>
      <vt:lpstr>max_I</vt:lpstr>
      <vt:lpstr>min_I</vt:lpstr>
      <vt:lpstr>MODE</vt:lpstr>
      <vt:lpstr>MODE_SS</vt:lpstr>
      <vt:lpstr>MODE_TC</vt:lpstr>
      <vt:lpstr>MODE_TOP</vt:lpstr>
      <vt:lpstr>MODE_UVLO</vt:lpstr>
      <vt:lpstr>Npri_sec1</vt:lpstr>
      <vt:lpstr>Npri_sec2</vt:lpstr>
      <vt:lpstr>Nps</vt:lpstr>
      <vt:lpstr>Nsec1sec2</vt:lpstr>
      <vt:lpstr>OffTime</vt:lpstr>
      <vt:lpstr>OnTime</vt:lpstr>
      <vt:lpstr>Pi</vt:lpstr>
      <vt:lpstr>Pin</vt:lpstr>
      <vt:lpstr>PLOT_TYPE</vt:lpstr>
      <vt:lpstr>Pout</vt:lpstr>
      <vt:lpstr>Pout_total</vt:lpstr>
      <vt:lpstr>Pout2</vt:lpstr>
      <vt:lpstr>'BOM &amp; Schematic'!Print_Area</vt:lpstr>
      <vt:lpstr>'Design Converter'!Print_Area</vt:lpstr>
      <vt:lpstr>Qg</vt:lpstr>
      <vt:lpstr>Parameters!RCinEsr</vt:lpstr>
      <vt:lpstr>RCinEsr</vt:lpstr>
      <vt:lpstr>Parameters!RCoutEsr</vt:lpstr>
      <vt:lpstr>RCoutEsr</vt:lpstr>
      <vt:lpstr>Rdcr_pri</vt:lpstr>
      <vt:lpstr>Rdcr_sec</vt:lpstr>
      <vt:lpstr>Rdcr_sec2</vt:lpstr>
      <vt:lpstr>Rdson</vt:lpstr>
      <vt:lpstr>RdsonTC</vt:lpstr>
      <vt:lpstr>Rfb</vt:lpstr>
      <vt:lpstr>Rfb_recommend</vt:lpstr>
      <vt:lpstr>Rfb2_u</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Toff_Vinmax</vt:lpstr>
      <vt:lpstr>Ton_Vinmin</vt:lpstr>
      <vt:lpstr>Trise</vt:lpstr>
      <vt:lpstr>TrrBot</vt:lpstr>
      <vt:lpstr>Tss</vt:lpstr>
      <vt:lpstr>Turns_Ratio</vt:lpstr>
      <vt:lpstr>Turns_Ratio2</vt:lpstr>
      <vt:lpstr>Vdd</vt:lpstr>
      <vt:lpstr>Vfwd1</vt:lpstr>
      <vt:lpstr>Vfwd2</vt:lpstr>
      <vt:lpstr>Vin</vt:lpstr>
      <vt:lpstr>VIN_max</vt:lpstr>
      <vt:lpstr>VIN_min</vt:lpstr>
      <vt:lpstr>VIN_nom</vt:lpstr>
      <vt:lpstr>Vinripple1</vt:lpstr>
      <vt:lpstr>Vinripple2</vt:lpstr>
      <vt:lpstr>VINuvlo_off</vt:lpstr>
      <vt:lpstr>VINuvlo_on</vt:lpstr>
      <vt:lpstr>Vout</vt:lpstr>
      <vt:lpstr>Vout_ripple</vt:lpstr>
      <vt:lpstr>Vout_ripple2</vt:lpstr>
      <vt:lpstr>Vout2</vt:lpstr>
      <vt:lpstr>Vout2_actual</vt:lpstr>
      <vt:lpstr>Vref</vt:lpstr>
      <vt:lpstr>Vripple1_actual</vt:lpstr>
      <vt:lpstr>Vripple1_spec</vt:lpstr>
      <vt:lpstr>Vripple2_actual</vt:lpstr>
      <vt:lpstr>Vripple2_spec</vt:lpstr>
      <vt:lpstr>VRRM_DIODE</vt:lpstr>
      <vt:lpstr>Vuvlo_hys</vt:lpstr>
      <vt:lpstr>Vuvlo_off</vt:lpstr>
      <vt:lpstr>Vuvlo_on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Hegarty, Timothy</cp:lastModifiedBy>
  <cp:lastPrinted>2016-03-02T21:18:53Z</cp:lastPrinted>
  <dcterms:created xsi:type="dcterms:W3CDTF">1996-10-14T23:33:28Z</dcterms:created>
  <dcterms:modified xsi:type="dcterms:W3CDTF">2019-05-16T14:38:13Z</dcterms:modified>
</cp:coreProperties>
</file>